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MIS Folder\Staffing Pattern\"/>
    </mc:Choice>
  </mc:AlternateContent>
  <bookViews>
    <workbookView xWindow="0" yWindow="0" windowWidth="28800" windowHeight="14115"/>
  </bookViews>
  <sheets>
    <sheet name="2nd Qtr as of 3.21.25" sheetId="1" r:id="rId1"/>
  </sheets>
  <externalReferences>
    <externalReference r:id="rId2"/>
  </externalReferences>
  <definedNames>
    <definedName name="_xlnm.Print_Area" localSheetId="0">'2nd Qtr as of 3.21.25'!$A$2:$T$16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27" i="1" l="1"/>
  <c r="Q127" i="1"/>
  <c r="K127" i="1"/>
  <c r="Z126" i="1"/>
  <c r="L126" i="1"/>
  <c r="K126" i="1"/>
  <c r="O126" i="1" s="1"/>
  <c r="Z125" i="1"/>
  <c r="Q125" i="1"/>
  <c r="L125" i="1"/>
  <c r="K125" i="1"/>
  <c r="O125" i="1" s="1"/>
  <c r="S125" i="1" s="1"/>
  <c r="T125" i="1" s="1"/>
  <c r="Z124" i="1"/>
  <c r="O124" i="1"/>
  <c r="L124" i="1"/>
  <c r="S124" i="1" s="1"/>
  <c r="T124" i="1" s="1"/>
  <c r="K124" i="1"/>
  <c r="Z123" i="1"/>
  <c r="Q123" i="1"/>
  <c r="L123" i="1"/>
  <c r="K123" i="1"/>
  <c r="Z122" i="1"/>
  <c r="O122" i="1"/>
  <c r="S122" i="1" s="1"/>
  <c r="L122" i="1"/>
  <c r="K122" i="1"/>
  <c r="T122" i="1" s="1"/>
  <c r="Z121" i="1"/>
  <c r="Q121" i="1"/>
  <c r="O121" i="1"/>
  <c r="L121" i="1"/>
  <c r="S121" i="1" s="1"/>
  <c r="T121" i="1" s="1"/>
  <c r="K121" i="1"/>
  <c r="Z120" i="1"/>
  <c r="L120" i="1"/>
  <c r="K120" i="1"/>
  <c r="O120" i="1" s="1"/>
  <c r="S120" i="1" s="1"/>
  <c r="T120" i="1" s="1"/>
  <c r="Z119" i="1"/>
  <c r="Q119" i="1"/>
  <c r="O119" i="1"/>
  <c r="S119" i="1" s="1"/>
  <c r="T119" i="1" s="1"/>
  <c r="L119" i="1"/>
  <c r="K119" i="1"/>
  <c r="Z118" i="1"/>
  <c r="Q118" i="1"/>
  <c r="O118" i="1"/>
  <c r="L118" i="1"/>
  <c r="S118" i="1" s="1"/>
  <c r="T118" i="1" s="1"/>
  <c r="K118" i="1"/>
  <c r="Z117" i="1"/>
  <c r="R117" i="1"/>
  <c r="Q117" i="1"/>
  <c r="O117" i="1"/>
  <c r="L117" i="1"/>
  <c r="S117" i="1" s="1"/>
  <c r="T117" i="1" s="1"/>
  <c r="K117" i="1"/>
  <c r="Z116" i="1"/>
  <c r="L116" i="1"/>
  <c r="K116" i="1"/>
  <c r="Z115" i="1"/>
  <c r="Q115" i="1"/>
  <c r="O115" i="1"/>
  <c r="L115" i="1"/>
  <c r="S115" i="1" s="1"/>
  <c r="K115" i="1"/>
  <c r="T115" i="1" s="1"/>
  <c r="Z114" i="1"/>
  <c r="L114" i="1"/>
  <c r="S114" i="1" s="1"/>
  <c r="T114" i="1" s="1"/>
  <c r="K114" i="1"/>
  <c r="O114" i="1" s="1"/>
  <c r="Z113" i="1"/>
  <c r="Q113" i="1"/>
  <c r="L113" i="1"/>
  <c r="K113" i="1"/>
  <c r="O113" i="1" s="1"/>
  <c r="S113" i="1" s="1"/>
  <c r="T113" i="1" s="1"/>
  <c r="Z112" i="1"/>
  <c r="R112" i="1"/>
  <c r="Q112" i="1"/>
  <c r="L112" i="1"/>
  <c r="K112" i="1"/>
  <c r="O112" i="1" s="1"/>
  <c r="S112" i="1" s="1"/>
  <c r="U104" i="1"/>
  <c r="U98" i="1"/>
  <c r="Z98" i="1" s="1"/>
  <c r="K98" i="1"/>
  <c r="O98" i="1" s="1"/>
  <c r="Z97" i="1"/>
  <c r="U97" i="1"/>
  <c r="O97" i="1"/>
  <c r="S97" i="1" s="1"/>
  <c r="T97" i="1" s="1"/>
  <c r="L97" i="1"/>
  <c r="K97" i="1"/>
  <c r="U96" i="1"/>
  <c r="Z96" i="1" s="1"/>
  <c r="O96" i="1"/>
  <c r="L96" i="1"/>
  <c r="S96" i="1" s="1"/>
  <c r="K96" i="1"/>
  <c r="T96" i="1" s="1"/>
  <c r="Z95" i="1"/>
  <c r="O95" i="1"/>
  <c r="L95" i="1"/>
  <c r="Z94" i="1"/>
  <c r="O94" i="1"/>
  <c r="S94" i="1" s="1"/>
  <c r="T94" i="1" s="1"/>
  <c r="L94" i="1"/>
  <c r="K94" i="1"/>
  <c r="U93" i="1"/>
  <c r="Z93" i="1" s="1"/>
  <c r="O93" i="1"/>
  <c r="L93" i="1"/>
  <c r="S93" i="1" s="1"/>
  <c r="K93" i="1"/>
  <c r="U92" i="1"/>
  <c r="Z92" i="1" s="1"/>
  <c r="K92" i="1"/>
  <c r="Z91" i="1"/>
  <c r="U91" i="1"/>
  <c r="K91" i="1"/>
  <c r="Z90" i="1"/>
  <c r="S90" i="1"/>
  <c r="K90" i="1"/>
  <c r="T90" i="1" s="1"/>
  <c r="Z89" i="1"/>
  <c r="O89" i="1"/>
  <c r="L89" i="1"/>
  <c r="S89" i="1" s="1"/>
  <c r="K89" i="1"/>
  <c r="T89" i="1" s="1"/>
  <c r="L88" i="1"/>
  <c r="U81" i="1"/>
  <c r="F81" i="1"/>
  <c r="F82" i="1" s="1"/>
  <c r="Z77" i="1"/>
  <c r="O77" i="1"/>
  <c r="L77" i="1"/>
  <c r="S77" i="1" s="1"/>
  <c r="K77" i="1"/>
  <c r="Z76" i="1"/>
  <c r="K76" i="1"/>
  <c r="Z75" i="1"/>
  <c r="O75" i="1"/>
  <c r="L75" i="1"/>
  <c r="S75" i="1" s="1"/>
  <c r="T75" i="1" s="1"/>
  <c r="K75" i="1"/>
  <c r="Z74" i="1"/>
  <c r="J74" i="1"/>
  <c r="K74" i="1" s="1"/>
  <c r="Z73" i="1"/>
  <c r="J73" i="1"/>
  <c r="K73" i="1" s="1"/>
  <c r="Z72" i="1"/>
  <c r="J72" i="1"/>
  <c r="K72" i="1" s="1"/>
  <c r="Z71" i="1"/>
  <c r="K71" i="1"/>
  <c r="Z70" i="1"/>
  <c r="J70" i="1"/>
  <c r="K70" i="1" s="1"/>
  <c r="Z69" i="1"/>
  <c r="O69" i="1"/>
  <c r="L69" i="1"/>
  <c r="S69" i="1" s="1"/>
  <c r="T69" i="1" s="1"/>
  <c r="K69" i="1"/>
  <c r="Z68" i="1"/>
  <c r="K68" i="1"/>
  <c r="O68" i="1" s="1"/>
  <c r="Z67" i="1"/>
  <c r="O67" i="1"/>
  <c r="L67" i="1"/>
  <c r="S67" i="1" s="1"/>
  <c r="K67" i="1"/>
  <c r="T67" i="1" s="1"/>
  <c r="Z66" i="1"/>
  <c r="K66" i="1"/>
  <c r="Z65" i="1"/>
  <c r="J65" i="1"/>
  <c r="K65" i="1" s="1"/>
  <c r="Z64" i="1"/>
  <c r="K64" i="1"/>
  <c r="O64" i="1" s="1"/>
  <c r="Z63" i="1"/>
  <c r="O63" i="1"/>
  <c r="K63" i="1"/>
  <c r="L63" i="1" s="1"/>
  <c r="S63" i="1" s="1"/>
  <c r="T63" i="1" s="1"/>
  <c r="Z62" i="1"/>
  <c r="K62" i="1"/>
  <c r="L62" i="1" s="1"/>
  <c r="J62" i="1"/>
  <c r="Z61" i="1"/>
  <c r="J61" i="1"/>
  <c r="K61" i="1" s="1"/>
  <c r="Z60" i="1"/>
  <c r="L60" i="1"/>
  <c r="K60" i="1"/>
  <c r="Z59" i="1"/>
  <c r="K59" i="1"/>
  <c r="O59" i="1" s="1"/>
  <c r="Z58" i="1"/>
  <c r="O58" i="1"/>
  <c r="K58" i="1"/>
  <c r="L58" i="1" s="1"/>
  <c r="S58" i="1" s="1"/>
  <c r="T58" i="1" s="1"/>
  <c r="Z57" i="1"/>
  <c r="K57" i="1"/>
  <c r="Z56" i="1"/>
  <c r="L56" i="1"/>
  <c r="K56" i="1"/>
  <c r="Z55" i="1"/>
  <c r="K55" i="1"/>
  <c r="O55" i="1" s="1"/>
  <c r="Z54" i="1"/>
  <c r="O54" i="1"/>
  <c r="K54" i="1"/>
  <c r="L54" i="1" s="1"/>
  <c r="S54" i="1" s="1"/>
  <c r="T54" i="1" s="1"/>
  <c r="Z53" i="1"/>
  <c r="K53" i="1"/>
  <c r="Z52" i="1"/>
  <c r="L52" i="1"/>
  <c r="K52" i="1"/>
  <c r="Z51" i="1"/>
  <c r="K51" i="1"/>
  <c r="O51" i="1" s="1"/>
  <c r="Z50" i="1"/>
  <c r="J50" i="1"/>
  <c r="K50" i="1" s="1"/>
  <c r="Z49" i="1"/>
  <c r="O49" i="1"/>
  <c r="L49" i="1"/>
  <c r="S49" i="1" s="1"/>
  <c r="T49" i="1" s="1"/>
  <c r="K49" i="1"/>
  <c r="Z48" i="1"/>
  <c r="K48" i="1"/>
  <c r="Z47" i="1"/>
  <c r="K47" i="1"/>
  <c r="J47" i="1"/>
  <c r="Z46" i="1"/>
  <c r="K46" i="1"/>
  <c r="O46" i="1" s="1"/>
  <c r="Z45" i="1"/>
  <c r="O45" i="1"/>
  <c r="K45" i="1"/>
  <c r="L45" i="1" s="1"/>
  <c r="S45" i="1" s="1"/>
  <c r="T45" i="1" s="1"/>
  <c r="Z44" i="1"/>
  <c r="K44" i="1"/>
  <c r="L44" i="1" s="1"/>
  <c r="Z43" i="1"/>
  <c r="J43" i="1"/>
  <c r="K43" i="1" s="1"/>
  <c r="Z42" i="1"/>
  <c r="J42" i="1"/>
  <c r="K42" i="1" s="1"/>
  <c r="Z41" i="1"/>
  <c r="K41" i="1"/>
  <c r="O41" i="1" s="1"/>
  <c r="Z40" i="1"/>
  <c r="O40" i="1"/>
  <c r="K40" i="1"/>
  <c r="L40" i="1" s="1"/>
  <c r="S40" i="1" s="1"/>
  <c r="T40" i="1" s="1"/>
  <c r="Z39" i="1"/>
  <c r="K39" i="1"/>
  <c r="L39" i="1" s="1"/>
  <c r="Z38" i="1"/>
  <c r="K38" i="1"/>
  <c r="O38" i="1" s="1"/>
  <c r="Z37" i="1"/>
  <c r="J37" i="1"/>
  <c r="K37" i="1" s="1"/>
  <c r="Z36" i="1"/>
  <c r="O36" i="1"/>
  <c r="L36" i="1"/>
  <c r="S36" i="1" s="1"/>
  <c r="T36" i="1" s="1"/>
  <c r="K36" i="1"/>
  <c r="Z35" i="1"/>
  <c r="J35" i="1"/>
  <c r="K35" i="1" s="1"/>
  <c r="K34" i="1"/>
  <c r="Z33" i="1"/>
  <c r="K33" i="1"/>
  <c r="O33" i="1" s="1"/>
  <c r="Z32" i="1"/>
  <c r="O32" i="1"/>
  <c r="L32" i="1"/>
  <c r="S32" i="1" s="1"/>
  <c r="T32" i="1" s="1"/>
  <c r="K32" i="1"/>
  <c r="Z31" i="1"/>
  <c r="K31" i="1"/>
  <c r="Z30" i="1"/>
  <c r="K30" i="1"/>
  <c r="Z29" i="1"/>
  <c r="K29" i="1"/>
  <c r="O29" i="1" s="1"/>
  <c r="Z28" i="1"/>
  <c r="O28" i="1"/>
  <c r="L28" i="1"/>
  <c r="S28" i="1" s="1"/>
  <c r="T28" i="1" s="1"/>
  <c r="K28" i="1"/>
  <c r="Z27" i="1"/>
  <c r="K27" i="1"/>
  <c r="L27" i="1" s="1"/>
  <c r="Z26" i="1"/>
  <c r="J26" i="1"/>
  <c r="J81" i="1" s="1"/>
  <c r="Z25" i="1"/>
  <c r="K25" i="1"/>
  <c r="O25" i="1" s="1"/>
  <c r="Z24" i="1"/>
  <c r="O24" i="1"/>
  <c r="K24" i="1"/>
  <c r="L24" i="1" s="1"/>
  <c r="S24" i="1" s="1"/>
  <c r="T24" i="1" s="1"/>
  <c r="Z23" i="1"/>
  <c r="K23" i="1"/>
  <c r="K22" i="1"/>
  <c r="O22" i="1" s="1"/>
  <c r="Z21" i="1"/>
  <c r="O21" i="1"/>
  <c r="L21" i="1"/>
  <c r="S21" i="1" s="1"/>
  <c r="T21" i="1" s="1"/>
  <c r="K21" i="1"/>
  <c r="Z20" i="1"/>
  <c r="K20" i="1"/>
  <c r="Z19" i="1"/>
  <c r="K19" i="1"/>
  <c r="Z18" i="1"/>
  <c r="K18" i="1"/>
  <c r="O18" i="1" s="1"/>
  <c r="Z17" i="1"/>
  <c r="O17" i="1"/>
  <c r="L17" i="1"/>
  <c r="S17" i="1" s="1"/>
  <c r="T17" i="1" s="1"/>
  <c r="K17" i="1"/>
  <c r="L72" i="1" l="1"/>
  <c r="O72" i="1"/>
  <c r="L50" i="1"/>
  <c r="S50" i="1" s="1"/>
  <c r="T50" i="1"/>
  <c r="O50" i="1"/>
  <c r="S126" i="1"/>
  <c r="T126" i="1" s="1"/>
  <c r="L73" i="1"/>
  <c r="O73" i="1"/>
  <c r="T34" i="1"/>
  <c r="L35" i="1"/>
  <c r="O35" i="1"/>
  <c r="O61" i="1"/>
  <c r="L61" i="1"/>
  <c r="S61" i="1" s="1"/>
  <c r="T61" i="1" s="1"/>
  <c r="O70" i="1"/>
  <c r="L70" i="1"/>
  <c r="O74" i="1"/>
  <c r="L74" i="1"/>
  <c r="T77" i="1"/>
  <c r="T91" i="1"/>
  <c r="L42" i="1"/>
  <c r="O42" i="1"/>
  <c r="L65" i="1"/>
  <c r="O65" i="1"/>
  <c r="L37" i="1"/>
  <c r="S37" i="1" s="1"/>
  <c r="T37" i="1"/>
  <c r="O37" i="1"/>
  <c r="L43" i="1"/>
  <c r="O43" i="1"/>
  <c r="T93" i="1"/>
  <c r="T116" i="1"/>
  <c r="L23" i="1"/>
  <c r="L57" i="1"/>
  <c r="L92" i="1"/>
  <c r="S92" i="1" s="1"/>
  <c r="T92" i="1" s="1"/>
  <c r="L53" i="1"/>
  <c r="S53" i="1" s="1"/>
  <c r="T53" i="1" s="1"/>
  <c r="L71" i="1"/>
  <c r="L31" i="1"/>
  <c r="O44" i="1"/>
  <c r="S44" i="1" s="1"/>
  <c r="T44" i="1" s="1"/>
  <c r="L48" i="1"/>
  <c r="O53" i="1"/>
  <c r="O57" i="1"/>
  <c r="O62" i="1"/>
  <c r="S62" i="1" s="1"/>
  <c r="T62" i="1" s="1"/>
  <c r="L66" i="1"/>
  <c r="S66" i="1" s="1"/>
  <c r="T66" i="1" s="1"/>
  <c r="O71" i="1"/>
  <c r="L76" i="1"/>
  <c r="S76" i="1" s="1"/>
  <c r="T76" i="1" s="1"/>
  <c r="L91" i="1"/>
  <c r="S91" i="1" s="1"/>
  <c r="O92" i="1"/>
  <c r="O123" i="1"/>
  <c r="S123" i="1" s="1"/>
  <c r="T123" i="1" s="1"/>
  <c r="O20" i="1"/>
  <c r="O48" i="1"/>
  <c r="O66" i="1"/>
  <c r="O76" i="1"/>
  <c r="O91" i="1"/>
  <c r="T112" i="1"/>
  <c r="O116" i="1"/>
  <c r="S116" i="1" s="1"/>
  <c r="O127" i="1"/>
  <c r="S127" i="1" s="1"/>
  <c r="T127" i="1" s="1"/>
  <c r="O23" i="1"/>
  <c r="L47" i="1"/>
  <c r="S47" i="1" s="1"/>
  <c r="T47" i="1" s="1"/>
  <c r="O52" i="1"/>
  <c r="S52" i="1" s="1"/>
  <c r="T52" i="1" s="1"/>
  <c r="O27" i="1"/>
  <c r="S27" i="1" s="1"/>
  <c r="T27" i="1" s="1"/>
  <c r="O31" i="1"/>
  <c r="L30" i="1"/>
  <c r="S30" i="1" s="1"/>
  <c r="T30" i="1" s="1"/>
  <c r="O39" i="1"/>
  <c r="O56" i="1"/>
  <c r="S56" i="1" s="1"/>
  <c r="T56" i="1" s="1"/>
  <c r="O60" i="1"/>
  <c r="S60" i="1" s="1"/>
  <c r="T60" i="1" s="1"/>
  <c r="O19" i="1"/>
  <c r="L38" i="1"/>
  <c r="S38" i="1" s="1"/>
  <c r="T38" i="1" s="1"/>
  <c r="L41" i="1"/>
  <c r="S41" i="1" s="1"/>
  <c r="T41" i="1" s="1"/>
  <c r="L46" i="1"/>
  <c r="S46" i="1" s="1"/>
  <c r="T46" i="1" s="1"/>
  <c r="L55" i="1"/>
  <c r="S55" i="1" s="1"/>
  <c r="T55" i="1" s="1"/>
  <c r="L64" i="1"/>
  <c r="S64" i="1" s="1"/>
  <c r="T64" i="1" s="1"/>
  <c r="L20" i="1"/>
  <c r="S20" i="1" s="1"/>
  <c r="T20" i="1" s="1"/>
  <c r="K26" i="1"/>
  <c r="K81" i="1" s="1"/>
  <c r="L34" i="1"/>
  <c r="S34" i="1" s="1"/>
  <c r="L25" i="1"/>
  <c r="S25" i="1" s="1"/>
  <c r="T25" i="1" s="1"/>
  <c r="O30" i="1"/>
  <c r="O34" i="1"/>
  <c r="O47" i="1"/>
  <c r="L51" i="1"/>
  <c r="S51" i="1" s="1"/>
  <c r="T51" i="1" s="1"/>
  <c r="L59" i="1"/>
  <c r="S59" i="1" s="1"/>
  <c r="T59" i="1" s="1"/>
  <c r="L18" i="1"/>
  <c r="S18" i="1" s="1"/>
  <c r="T18" i="1" s="1"/>
  <c r="L29" i="1"/>
  <c r="S29" i="1" s="1"/>
  <c r="T29" i="1" s="1"/>
  <c r="L33" i="1"/>
  <c r="S33" i="1" s="1"/>
  <c r="T33" i="1" s="1"/>
  <c r="L68" i="1"/>
  <c r="S68" i="1" s="1"/>
  <c r="T68" i="1" s="1"/>
  <c r="L98" i="1"/>
  <c r="S98" i="1" s="1"/>
  <c r="T98" i="1" s="1"/>
  <c r="L19" i="1"/>
  <c r="S19" i="1" s="1"/>
  <c r="T19" i="1" s="1"/>
  <c r="L22" i="1"/>
  <c r="S31" i="1" l="1"/>
  <c r="T31" i="1" s="1"/>
  <c r="S65" i="1"/>
  <c r="T65" i="1" s="1"/>
  <c r="S42" i="1"/>
  <c r="T42" i="1" s="1"/>
  <c r="S71" i="1"/>
  <c r="T71" i="1" s="1"/>
  <c r="S70" i="1"/>
  <c r="T70" i="1" s="1"/>
  <c r="S35" i="1"/>
  <c r="T35" i="1" s="1"/>
  <c r="L81" i="1"/>
  <c r="S81" i="1" s="1"/>
  <c r="T81" i="1" s="1"/>
  <c r="S57" i="1"/>
  <c r="T57" i="1" s="1"/>
  <c r="S23" i="1"/>
  <c r="T23" i="1" s="1"/>
  <c r="S43" i="1"/>
  <c r="T43" i="1" s="1"/>
  <c r="S72" i="1"/>
  <c r="T72" i="1" s="1"/>
  <c r="L26" i="1"/>
  <c r="O26" i="1"/>
  <c r="O81" i="1" s="1"/>
  <c r="S48" i="1"/>
  <c r="T48" i="1" s="1"/>
  <c r="S74" i="1"/>
  <c r="T74" i="1" s="1"/>
  <c r="S73" i="1"/>
  <c r="T73" i="1" s="1"/>
  <c r="S26" i="1" l="1"/>
  <c r="T26" i="1" s="1"/>
</calcChain>
</file>

<file path=xl/sharedStrings.xml><?xml version="1.0" encoding="utf-8"?>
<sst xmlns="http://schemas.openxmlformats.org/spreadsheetml/2006/main" count="561" uniqueCount="350">
  <si>
    <t xml:space="preserve"> </t>
  </si>
  <si>
    <t>FUNCTIONAL AREA:</t>
  </si>
  <si>
    <t>PUBLIC SAFETY</t>
  </si>
  <si>
    <t>GOVERNMENT OF GUAM</t>
  </si>
  <si>
    <t>DEPARTMENT/AGENCY:</t>
  </si>
  <si>
    <t>PUBLIC DEFENDER SERVICE CORPORATION</t>
  </si>
  <si>
    <t>PROGRAM:</t>
  </si>
  <si>
    <t>GENERAL FUND</t>
  </si>
  <si>
    <t>Agency Staffing Pattern
(2nd Quarter)</t>
  </si>
  <si>
    <t>FUND:</t>
  </si>
  <si>
    <t>Input by Department</t>
  </si>
  <si>
    <t>( A )</t>
  </si>
  <si>
    <t>( B )</t>
  </si>
  <si>
    <t>( C )</t>
  </si>
  <si>
    <t>( D )</t>
  </si>
  <si>
    <t>( E )</t>
  </si>
  <si>
    <t>( F )</t>
  </si>
  <si>
    <t>( G )</t>
  </si>
  <si>
    <t>( H )</t>
  </si>
  <si>
    <t>( I )</t>
  </si>
  <si>
    <t>( J )</t>
  </si>
  <si>
    <t>( K )</t>
  </si>
  <si>
    <t>( L )</t>
  </si>
  <si>
    <t>( M )</t>
  </si>
  <si>
    <t>( N )</t>
  </si>
  <si>
    <t>( O )</t>
  </si>
  <si>
    <t>( P )</t>
  </si>
  <si>
    <t>( Q )</t>
  </si>
  <si>
    <t>( R )</t>
  </si>
  <si>
    <t>(S)</t>
  </si>
  <si>
    <t>(T)</t>
  </si>
  <si>
    <t>(U)</t>
  </si>
  <si>
    <t>(V)</t>
  </si>
  <si>
    <t>(W)</t>
  </si>
  <si>
    <t>Specialty</t>
  </si>
  <si>
    <t>Increment</t>
  </si>
  <si>
    <t xml:space="preserve">              Benefits</t>
  </si>
  <si>
    <t>TOTAL FIRST QUARTER</t>
  </si>
  <si>
    <t>TOTAL SECOND QUARTER</t>
  </si>
  <si>
    <t>TOTAL THIRD QUARTER</t>
  </si>
  <si>
    <t>TOTAL FOURTH QUARTER</t>
  </si>
  <si>
    <t>Position</t>
  </si>
  <si>
    <t>Name of</t>
  </si>
  <si>
    <t>Grade /</t>
  </si>
  <si>
    <t>Pay</t>
  </si>
  <si>
    <t>( E+F+G+I )</t>
  </si>
  <si>
    <t xml:space="preserve">Retirement </t>
  </si>
  <si>
    <t>Retire (DDI)</t>
  </si>
  <si>
    <t>Soc Sec</t>
  </si>
  <si>
    <t>Medicare</t>
  </si>
  <si>
    <t>Life</t>
  </si>
  <si>
    <t>Medical</t>
  </si>
  <si>
    <t>Dental</t>
  </si>
  <si>
    <t>Total Benefits</t>
  </si>
  <si>
    <t>( J + R )</t>
  </si>
  <si>
    <t>No.</t>
  </si>
  <si>
    <t>Number</t>
  </si>
  <si>
    <t>Title</t>
  </si>
  <si>
    <t>Incumbent</t>
  </si>
  <si>
    <t>Step</t>
  </si>
  <si>
    <t>Salary</t>
  </si>
  <si>
    <t>Overtime</t>
  </si>
  <si>
    <t>15%</t>
  </si>
  <si>
    <t>Date</t>
  </si>
  <si>
    <t>Amt.</t>
  </si>
  <si>
    <t>Subtotal</t>
  </si>
  <si>
    <t>30.77%</t>
  </si>
  <si>
    <t>($19.01*26PP)</t>
  </si>
  <si>
    <t>1.45%</t>
  </si>
  <si>
    <t>7.03*26PP</t>
  </si>
  <si>
    <t>( Premium)</t>
  </si>
  <si>
    <t>( K thru Q )</t>
  </si>
  <si>
    <t>TOTAL</t>
  </si>
  <si>
    <t>PD-001/UNCL</t>
  </si>
  <si>
    <t>EXECUTIVE DIRECTOR</t>
  </si>
  <si>
    <t>STEPHEN P. HATTORI</t>
  </si>
  <si>
    <t>AL5-10</t>
  </si>
  <si>
    <t>PD-004/UNCL</t>
  </si>
  <si>
    <t>DEPUTY DIRECTOR</t>
  </si>
  <si>
    <t>JOHN P. MORRISON*</t>
  </si>
  <si>
    <t>AL5-11</t>
  </si>
  <si>
    <t>ATTORNEY LEVEL 4</t>
  </si>
  <si>
    <t>JOHN P. MORRISON</t>
  </si>
  <si>
    <t>AL4-11</t>
  </si>
  <si>
    <t>PD-003</t>
  </si>
  <si>
    <t>ADMINISTRATIVE DIRECTOR</t>
  </si>
  <si>
    <t>SHANE G.L. NGATA</t>
  </si>
  <si>
    <t>S-10</t>
  </si>
  <si>
    <t>PD-010</t>
  </si>
  <si>
    <t>ADMINISTRATIVE ASSISTANT</t>
  </si>
  <si>
    <t>FELICIA M.T. CRUZ</t>
  </si>
  <si>
    <t>J-12</t>
  </si>
  <si>
    <t>SPECIAL PROJECTS COORDINATOR</t>
  </si>
  <si>
    <t>N-3</t>
  </si>
  <si>
    <t>PD-016</t>
  </si>
  <si>
    <t>RECORDS/PROP &amp; MF TECHNICIAN</t>
  </si>
  <si>
    <t>JOEY A. GOGUE</t>
  </si>
  <si>
    <t>J-17</t>
  </si>
  <si>
    <t>PD-023</t>
  </si>
  <si>
    <t>PROGRAM COORDINATOR IV</t>
  </si>
  <si>
    <t>CATHLEEN L.G. MOYLAN</t>
  </si>
  <si>
    <t>O-9</t>
  </si>
  <si>
    <t>PD-066</t>
  </si>
  <si>
    <t>SOCIAL WORKER III</t>
  </si>
  <si>
    <t>ROSALIND S. REYES</t>
  </si>
  <si>
    <t>N-11</t>
  </si>
  <si>
    <t>PD-044</t>
  </si>
  <si>
    <t>RENITA M. TAIMANAO-MUNOZ</t>
  </si>
  <si>
    <t>AL4-8</t>
  </si>
  <si>
    <t>PD-002</t>
  </si>
  <si>
    <t>JOCELYN M. RODEN</t>
  </si>
  <si>
    <t>AL4-13</t>
  </si>
  <si>
    <t>PD-031</t>
  </si>
  <si>
    <t>PETER J. SABLAN</t>
  </si>
  <si>
    <t>PD-034</t>
  </si>
  <si>
    <t>WILLIAM B. JONES</t>
  </si>
  <si>
    <t>AL4-9</t>
  </si>
  <si>
    <t>PD-047</t>
  </si>
  <si>
    <t>WILLIAM C. BISCHOFF</t>
  </si>
  <si>
    <t>PD-048</t>
  </si>
  <si>
    <t>BRIAN E. KEGERREIS</t>
  </si>
  <si>
    <t>AL4-2</t>
  </si>
  <si>
    <t>PD-055</t>
  </si>
  <si>
    <t>ZACHARY C. TAIMANGLO</t>
  </si>
  <si>
    <t>PD-005</t>
  </si>
  <si>
    <t>ATTORNEY LEVEL 3</t>
  </si>
  <si>
    <t>ALISHA L. MOLYNEUX</t>
  </si>
  <si>
    <t>AL3-9</t>
  </si>
  <si>
    <t>PD-006</t>
  </si>
  <si>
    <t>MARY L. HILL</t>
  </si>
  <si>
    <t>AL4-5</t>
  </si>
  <si>
    <t>PD-007</t>
  </si>
  <si>
    <t>EARL ANTHONY V. ESPIRITU</t>
  </si>
  <si>
    <t>AL3-5</t>
  </si>
  <si>
    <t>PD-051</t>
  </si>
  <si>
    <t>ATTORNEY LEVEL 1</t>
  </si>
  <si>
    <t>ADAM J. GUNKEL</t>
  </si>
  <si>
    <t>AL1-1</t>
  </si>
  <si>
    <t>PD-027</t>
  </si>
  <si>
    <t>ATTORNEY LEVEL 2</t>
  </si>
  <si>
    <t>KATHLEEN A. AGUON</t>
  </si>
  <si>
    <t>AL2-4</t>
  </si>
  <si>
    <t>PD-053</t>
  </si>
  <si>
    <t>CHRISTIAN F. SPOTANSKI</t>
  </si>
  <si>
    <t>AL2-1</t>
  </si>
  <si>
    <t>PD-054</t>
  </si>
  <si>
    <t>CHAD N. ENOKI</t>
  </si>
  <si>
    <t>AL4-3</t>
  </si>
  <si>
    <t>PD-013</t>
  </si>
  <si>
    <t>PARALEGAL II</t>
  </si>
  <si>
    <t>CHRISTINE B. REYES</t>
  </si>
  <si>
    <t>L-8</t>
  </si>
  <si>
    <t>PD-061</t>
  </si>
  <si>
    <t>ACCOUNTING TECHNICIAN III</t>
  </si>
  <si>
    <t>JOYCE M. TRECEPONA</t>
  </si>
  <si>
    <t>J-10</t>
  </si>
  <si>
    <t>PD-012</t>
  </si>
  <si>
    <t>CHIEF FISCAL OFFICER</t>
  </si>
  <si>
    <t>MICHAEL S. MORENO</t>
  </si>
  <si>
    <t>P-8</t>
  </si>
  <si>
    <t>PD-041</t>
  </si>
  <si>
    <t>PERSONNEL SPECIALIST IV</t>
  </si>
  <si>
    <t>KATHERINE R. SABLAN</t>
  </si>
  <si>
    <t>O-6</t>
  </si>
  <si>
    <t>PD-009</t>
  </si>
  <si>
    <t>CHIEF INVESTIGATOR</t>
  </si>
  <si>
    <t>ROBBIE T. CALL</t>
  </si>
  <si>
    <t>QL04-11</t>
  </si>
  <si>
    <t>PD-011</t>
  </si>
  <si>
    <t>INVESTIGATOR III</t>
  </si>
  <si>
    <t>RICARDO S. TAIMANAO</t>
  </si>
  <si>
    <t>NL04-13</t>
  </si>
  <si>
    <t>PD-014</t>
  </si>
  <si>
    <t>RANDOLPH F. RIVERA</t>
  </si>
  <si>
    <t>NL04-15</t>
  </si>
  <si>
    <t>PD-025</t>
  </si>
  <si>
    <t xml:space="preserve">INVESTIGATOR II </t>
  </si>
  <si>
    <t xml:space="preserve">ROBERT F. LINDSEY III </t>
  </si>
  <si>
    <t>ML04-03</t>
  </si>
  <si>
    <t>PD-063</t>
  </si>
  <si>
    <t>INVESTIGATOR I</t>
  </si>
  <si>
    <t>ELEANOR QUENGA-RIOS</t>
  </si>
  <si>
    <t>KL04-13</t>
  </si>
  <si>
    <t>PD-064</t>
  </si>
  <si>
    <t>CHARMAINE T. AGUON</t>
  </si>
  <si>
    <t>KL04-10</t>
  </si>
  <si>
    <t>PD-008</t>
  </si>
  <si>
    <t>OFFICE AIDE</t>
  </si>
  <si>
    <t>IN RECRUITMENT VICE: S. Margeson</t>
  </si>
  <si>
    <t>D-4</t>
  </si>
  <si>
    <t>PD-017</t>
  </si>
  <si>
    <t>LEGAL CLERK SUPERVISOR</t>
  </si>
  <si>
    <t>MICHAEL E. GOGUE</t>
  </si>
  <si>
    <t>L-12</t>
  </si>
  <si>
    <t>PD-020</t>
  </si>
  <si>
    <t>LEGAL CLERK I</t>
  </si>
  <si>
    <t>CELINA A. JORDAN</t>
  </si>
  <si>
    <t>F-1</t>
  </si>
  <si>
    <t>PD-039</t>
  </si>
  <si>
    <t>LEGAL CLERK III</t>
  </si>
  <si>
    <t>BEE HEARTLY SIBA</t>
  </si>
  <si>
    <t>I-3</t>
  </si>
  <si>
    <t>PD-040</t>
  </si>
  <si>
    <t>LEGAL CLERK I (In Leiu of LCII)</t>
  </si>
  <si>
    <t>VICTORIA M. ABANES</t>
  </si>
  <si>
    <t>PD-026</t>
  </si>
  <si>
    <t>M.I.S. ADMINISTRATOR</t>
  </si>
  <si>
    <t>JULITO B. TINGSON, JR.</t>
  </si>
  <si>
    <t>P-11</t>
  </si>
  <si>
    <t>PD-049</t>
  </si>
  <si>
    <t>NETWORK SPECIALIST</t>
  </si>
  <si>
    <t xml:space="preserve">KENNETH A. LIM </t>
  </si>
  <si>
    <t>N-8</t>
  </si>
  <si>
    <t>PD-024</t>
  </si>
  <si>
    <t>PROCESS OFFICER SUPERVISOR</t>
  </si>
  <si>
    <t>REYNALDO G. SERAFICO</t>
  </si>
  <si>
    <t>J-14</t>
  </si>
  <si>
    <t>PD-022</t>
  </si>
  <si>
    <t>PROCESS OFFICER I</t>
  </si>
  <si>
    <t>JOAQUIN M. DELOS SANTOS</t>
  </si>
  <si>
    <t>I-12</t>
  </si>
  <si>
    <t>Limited-Term</t>
  </si>
  <si>
    <t>CHRISTIAN J. DUENAS</t>
  </si>
  <si>
    <t>D-2</t>
  </si>
  <si>
    <t>PD-015</t>
  </si>
  <si>
    <t>LEGAL SECRETARY SUPERVISOR</t>
  </si>
  <si>
    <t>VANESSA L. DIAZ</t>
  </si>
  <si>
    <t>L-11</t>
  </si>
  <si>
    <t>PD-019</t>
  </si>
  <si>
    <t>LEGAL SECRETARY I</t>
  </si>
  <si>
    <t>KEILANI-CAMARIN R. LAYON</t>
  </si>
  <si>
    <t>H-2</t>
  </si>
  <si>
    <t>PD-021</t>
  </si>
  <si>
    <t>LEGAL SECRETARY III</t>
  </si>
  <si>
    <t>STACEY ANN F. CRUZ</t>
  </si>
  <si>
    <t>PD-028</t>
  </si>
  <si>
    <t>VERA LYNN G. CRUZ</t>
  </si>
  <si>
    <t>J-8</t>
  </si>
  <si>
    <t>PD-035</t>
  </si>
  <si>
    <t>ALANA M. DIAZ</t>
  </si>
  <si>
    <t>J-9</t>
  </si>
  <si>
    <t>PD-046</t>
  </si>
  <si>
    <t>RAMONA A. GUERRERO</t>
  </si>
  <si>
    <t>PD-058</t>
  </si>
  <si>
    <t>JUDY S. AYUYU</t>
  </si>
  <si>
    <t>PD-065</t>
  </si>
  <si>
    <t>RACHEL N. MESUBED</t>
  </si>
  <si>
    <t>PD-032</t>
  </si>
  <si>
    <t xml:space="preserve">LEGAL SECRETARY I </t>
  </si>
  <si>
    <t>NIKKI S. UEHARA</t>
  </si>
  <si>
    <t>H-1</t>
  </si>
  <si>
    <t>PD-038</t>
  </si>
  <si>
    <t xml:space="preserve">SHEILA S. MARGESON </t>
  </si>
  <si>
    <t>PD-060</t>
  </si>
  <si>
    <t>LEGAL SECRETARY II</t>
  </si>
  <si>
    <t>JENNIFER SPESUNGEL</t>
  </si>
  <si>
    <t>I-1</t>
  </si>
  <si>
    <t>PD-018</t>
  </si>
  <si>
    <t xml:space="preserve">MARMELYNN TARAW </t>
  </si>
  <si>
    <t>H-4</t>
  </si>
  <si>
    <t>PD-036</t>
  </si>
  <si>
    <t xml:space="preserve">KINIE CHEIPOT </t>
  </si>
  <si>
    <t>H-3</t>
  </si>
  <si>
    <t>PD-052</t>
  </si>
  <si>
    <t>NEURINA N.W. TAIJERON</t>
  </si>
  <si>
    <t>H-5</t>
  </si>
  <si>
    <t>PD-062</t>
  </si>
  <si>
    <t>CLERK I (2% Employ Program)</t>
  </si>
  <si>
    <t>FRANCIS J. PEREZ</t>
  </si>
  <si>
    <t>C-8</t>
  </si>
  <si>
    <t>PD-067</t>
  </si>
  <si>
    <t>IN RECRUITMENT</t>
  </si>
  <si>
    <t>N-1</t>
  </si>
  <si>
    <t>PD-068</t>
  </si>
  <si>
    <t>MARIE P. PEREDA</t>
  </si>
  <si>
    <t>L-1</t>
  </si>
  <si>
    <t>Input by Department (*FEDERAL FUNDS)**GENERAL FUND</t>
  </si>
  <si>
    <t>(6.2% * J)</t>
  </si>
  <si>
    <t>(1.45% * J)</t>
  </si>
  <si>
    <t>1/</t>
  </si>
  <si>
    <t>UNCL*</t>
  </si>
  <si>
    <t>MANAGING ATTORNEY</t>
  </si>
  <si>
    <t>CAROL M. HINKLE-SANCHEZ*</t>
  </si>
  <si>
    <t>AL5-8</t>
  </si>
  <si>
    <t>Contract</t>
  </si>
  <si>
    <t xml:space="preserve">ATTORNEY LEVEL 4 </t>
  </si>
  <si>
    <t>JAMES BASIL O'MALLAN</t>
  </si>
  <si>
    <t>PD-076**</t>
  </si>
  <si>
    <t>PROGRAM COORDINATOR III</t>
  </si>
  <si>
    <t>GWENDOLYN L.P. DIEGO</t>
  </si>
  <si>
    <t>PD-074**</t>
  </si>
  <si>
    <t>MANAGEMENT OFFICER</t>
  </si>
  <si>
    <t>EDNA M.R. TOPASNA</t>
  </si>
  <si>
    <t>M-1</t>
  </si>
  <si>
    <t>PD-071**</t>
  </si>
  <si>
    <t>JESSICA A. LEE</t>
  </si>
  <si>
    <t xml:space="preserve">VICTIM ADVOCATE </t>
  </si>
  <si>
    <t>VACANT - VICE: J. SANA</t>
  </si>
  <si>
    <t>K-1</t>
  </si>
  <si>
    <t>PD-072**</t>
  </si>
  <si>
    <t>YOUVALEEN Y. JOHNNY</t>
  </si>
  <si>
    <t>PD-075**</t>
  </si>
  <si>
    <t>CHRISTINA A. MARTINEZ</t>
  </si>
  <si>
    <t>PD-070**</t>
  </si>
  <si>
    <t>DOMINIC S. TERLAJE</t>
  </si>
  <si>
    <t>PD-073**</t>
  </si>
  <si>
    <t>JENERY E. SANA</t>
  </si>
  <si>
    <t>Salaries and Benefits Paid for Merit Bonuses( Previous Years and FY2024)</t>
  </si>
  <si>
    <t>Salaries</t>
  </si>
  <si>
    <t>Benefits</t>
  </si>
  <si>
    <t>Total</t>
  </si>
  <si>
    <t>Managing Attorney</t>
  </si>
  <si>
    <t>Ana Maria C. Gayle</t>
  </si>
  <si>
    <t>Attorney Level 4</t>
  </si>
  <si>
    <t>Peter J. Santos</t>
  </si>
  <si>
    <t>Brycen J. Breazeale</t>
  </si>
  <si>
    <t>Attorney Level 3</t>
  </si>
  <si>
    <t>Tyler R. Scott</t>
  </si>
  <si>
    <t>AL3-4</t>
  </si>
  <si>
    <t>Investigator II</t>
  </si>
  <si>
    <t>Rosalyn S. Gutierrez</t>
  </si>
  <si>
    <t>ML04-11</t>
  </si>
  <si>
    <t>Legal Secretary III</t>
  </si>
  <si>
    <t>Joyleen G. Sanchez</t>
  </si>
  <si>
    <t>J-3</t>
  </si>
  <si>
    <t>Legal Secretary I</t>
  </si>
  <si>
    <t>Leona S. Weaver</t>
  </si>
  <si>
    <t>H-7</t>
  </si>
  <si>
    <t>Legal Clerk III</t>
  </si>
  <si>
    <t>Michael S. Borreta</t>
  </si>
  <si>
    <t>Leonardo M. Rapadas</t>
  </si>
  <si>
    <t>Investigator III</t>
  </si>
  <si>
    <t>Julie G. Sablan</t>
  </si>
  <si>
    <t>NL04-10</t>
  </si>
  <si>
    <t>Legal Clerk I</t>
  </si>
  <si>
    <t>Vacant  Vice: L. Weaver</t>
  </si>
  <si>
    <t>F-7</t>
  </si>
  <si>
    <t>Administrative Assistant</t>
  </si>
  <si>
    <t>Vacant  Vice: J. Bamba</t>
  </si>
  <si>
    <t>Attorney Level 2</t>
  </si>
  <si>
    <t>Shinju Flynn</t>
  </si>
  <si>
    <t>Management Officer</t>
  </si>
  <si>
    <t>Audre K. Hattori</t>
  </si>
  <si>
    <t>M-6</t>
  </si>
  <si>
    <t>Computer Technician I</t>
  </si>
  <si>
    <t>Saylor G. Jesus</t>
  </si>
  <si>
    <t>Limited Term</t>
  </si>
  <si>
    <t>Alithia N.S. Ayuyu</t>
  </si>
  <si>
    <t>J-1</t>
  </si>
  <si>
    <t>Fiscal Year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</si>
</sst>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E+00"/>
    <numFmt numFmtId="165" formatCode="m/d/yy;@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SWISS"/>
    </font>
    <font>
      <b/>
      <sz val="8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8"/>
      <color indexed="8"/>
      <name val="SWISS"/>
    </font>
    <font>
      <sz val="8"/>
      <color indexed="8"/>
      <name val="SWISS"/>
    </font>
    <font>
      <sz val="8"/>
      <name val="SWISS"/>
    </font>
    <font>
      <b/>
      <sz val="12"/>
      <color indexed="8"/>
      <name val="SWISS"/>
    </font>
    <font>
      <sz val="12"/>
      <color indexed="8"/>
      <name val="SWISS"/>
    </font>
    <font>
      <b/>
      <sz val="8"/>
      <name val="Times New Roman"/>
      <family val="1"/>
    </font>
    <font>
      <sz val="8"/>
      <name val="Times New Roman"/>
      <family val="1"/>
    </font>
    <font>
      <b/>
      <sz val="9"/>
      <color indexed="8"/>
      <name val="Times New Roman"/>
      <family val="1"/>
    </font>
    <font>
      <b/>
      <sz val="7"/>
      <color indexed="8"/>
      <name val="Times New Roman"/>
      <family val="1"/>
    </font>
    <font>
      <sz val="8"/>
      <color rgb="FFFF0000"/>
      <name val="SWISS"/>
    </font>
    <font>
      <b/>
      <sz val="8"/>
      <name val="SWISS"/>
    </font>
    <font>
      <b/>
      <sz val="8"/>
      <color rgb="FFFF0000"/>
      <name val="SWISS"/>
    </font>
    <font>
      <b/>
      <sz val="8"/>
      <color theme="4" tint="-0.249977111117893"/>
      <name val="SWISS"/>
    </font>
    <font>
      <b/>
      <sz val="10"/>
      <color rgb="FFFF0000"/>
      <name val="SWISS"/>
    </font>
    <font>
      <sz val="9"/>
      <name val="SWISS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41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3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theme="0" tint="-4.9989318521683403E-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37" fontId="2" fillId="0" borderId="0"/>
  </cellStyleXfs>
  <cellXfs count="190">
    <xf numFmtId="0" fontId="0" fillId="0" borderId="0" xfId="0"/>
    <xf numFmtId="37" fontId="3" fillId="0" borderId="0" xfId="3" applyFont="1"/>
    <xf numFmtId="37" fontId="3" fillId="0" borderId="0" xfId="3" applyFont="1" applyAlignment="1">
      <alignment horizontal="center"/>
    </xf>
    <xf numFmtId="37" fontId="4" fillId="0" borderId="0" xfId="3" applyFont="1"/>
    <xf numFmtId="37" fontId="5" fillId="0" borderId="0" xfId="3" applyFont="1"/>
    <xf numFmtId="37" fontId="6" fillId="0" borderId="0" xfId="3" applyFont="1"/>
    <xf numFmtId="37" fontId="7" fillId="0" borderId="0" xfId="3" applyFont="1"/>
    <xf numFmtId="37" fontId="8" fillId="0" borderId="0" xfId="3" applyFont="1"/>
    <xf numFmtId="37" fontId="2" fillId="0" borderId="0" xfId="3"/>
    <xf numFmtId="37" fontId="4" fillId="0" borderId="0" xfId="3" applyFont="1" applyAlignment="1">
      <alignment horizontal="center"/>
    </xf>
    <xf numFmtId="37" fontId="4" fillId="0" borderId="0" xfId="3" applyFont="1" applyAlignment="1">
      <alignment horizontal="center"/>
    </xf>
    <xf numFmtId="37" fontId="9" fillId="0" borderId="0" xfId="3" applyFont="1"/>
    <xf numFmtId="37" fontId="10" fillId="0" borderId="0" xfId="3" applyFont="1"/>
    <xf numFmtId="37" fontId="4" fillId="0" borderId="0" xfId="3" applyFont="1" applyAlignment="1">
      <alignment horizontal="center" wrapText="1"/>
    </xf>
    <xf numFmtId="37" fontId="3" fillId="2" borderId="1" xfId="3" applyFont="1" applyFill="1" applyBorder="1" applyAlignment="1">
      <alignment horizontal="centerContinuous"/>
    </xf>
    <xf numFmtId="37" fontId="3" fillId="2" borderId="2" xfId="3" applyFont="1" applyFill="1" applyBorder="1" applyAlignment="1">
      <alignment horizontal="centerContinuous"/>
    </xf>
    <xf numFmtId="37" fontId="3" fillId="2" borderId="2" xfId="3" applyFont="1" applyFill="1" applyBorder="1" applyAlignment="1">
      <alignment horizontal="center"/>
    </xf>
    <xf numFmtId="37" fontId="3" fillId="3" borderId="2" xfId="3" applyFont="1" applyFill="1" applyBorder="1" applyAlignment="1">
      <alignment horizontal="centerContinuous"/>
    </xf>
    <xf numFmtId="37" fontId="3" fillId="2" borderId="3" xfId="3" applyFont="1" applyFill="1" applyBorder="1" applyAlignment="1">
      <alignment horizontal="centerContinuous"/>
    </xf>
    <xf numFmtId="39" fontId="3" fillId="0" borderId="0" xfId="3" applyNumberFormat="1" applyFont="1"/>
    <xf numFmtId="37" fontId="3" fillId="0" borderId="4" xfId="3" applyFont="1" applyBorder="1"/>
    <xf numFmtId="37" fontId="3" fillId="0" borderId="5" xfId="3" applyFont="1" applyBorder="1"/>
    <xf numFmtId="37" fontId="3" fillId="0" borderId="4" xfId="3" quotePrefix="1" applyFont="1" applyBorder="1" applyAlignment="1">
      <alignment horizontal="center"/>
    </xf>
    <xf numFmtId="37" fontId="3" fillId="0" borderId="6" xfId="3" quotePrefix="1" applyFont="1" applyBorder="1" applyAlignment="1">
      <alignment horizontal="center"/>
    </xf>
    <xf numFmtId="37" fontId="3" fillId="0" borderId="0" xfId="3" quotePrefix="1" applyFont="1" applyAlignment="1">
      <alignment horizontal="center"/>
    </xf>
    <xf numFmtId="37" fontId="3" fillId="0" borderId="7" xfId="3" quotePrefix="1" applyFont="1" applyBorder="1" applyAlignment="1">
      <alignment horizontal="center"/>
    </xf>
    <xf numFmtId="37" fontId="3" fillId="0" borderId="8" xfId="3" quotePrefix="1" applyFont="1" applyBorder="1" applyAlignment="1">
      <alignment horizontal="center"/>
    </xf>
    <xf numFmtId="37" fontId="3" fillId="0" borderId="9" xfId="3" quotePrefix="1" applyFont="1" applyBorder="1" applyAlignment="1">
      <alignment horizontal="center"/>
    </xf>
    <xf numFmtId="37" fontId="11" fillId="0" borderId="0" xfId="3" applyFont="1" applyAlignment="1">
      <alignment horizontal="center"/>
    </xf>
    <xf numFmtId="37" fontId="11" fillId="0" borderId="10" xfId="3" applyFont="1" applyBorder="1" applyAlignment="1">
      <alignment horizontal="center" vertical="center"/>
    </xf>
    <xf numFmtId="37" fontId="6" fillId="0" borderId="10" xfId="3" applyFont="1" applyBorder="1" applyAlignment="1">
      <alignment horizontal="center" vertical="center"/>
    </xf>
    <xf numFmtId="37" fontId="3" fillId="4" borderId="11" xfId="3" applyFont="1" applyFill="1" applyBorder="1" applyAlignment="1">
      <alignment horizontal="center"/>
    </xf>
    <xf numFmtId="37" fontId="3" fillId="5" borderId="12" xfId="3" applyFont="1" applyFill="1" applyBorder="1" applyAlignment="1">
      <alignment horizontal="center"/>
    </xf>
    <xf numFmtId="37" fontId="3" fillId="5" borderId="0" xfId="3" applyFont="1" applyFill="1"/>
    <xf numFmtId="37" fontId="3" fillId="5" borderId="13" xfId="3" applyFont="1" applyFill="1" applyBorder="1" applyAlignment="1">
      <alignment horizontal="center"/>
    </xf>
    <xf numFmtId="37" fontId="3" fillId="0" borderId="13" xfId="3" applyFont="1" applyBorder="1" applyAlignment="1">
      <alignment horizontal="center"/>
    </xf>
    <xf numFmtId="37" fontId="3" fillId="5" borderId="14" xfId="3" applyFont="1" applyFill="1" applyBorder="1" applyAlignment="1">
      <alignment horizontal="center"/>
    </xf>
    <xf numFmtId="37" fontId="3" fillId="5" borderId="15" xfId="3" applyFont="1" applyFill="1" applyBorder="1" applyAlignment="1">
      <alignment horizontal="center" vertical="center"/>
    </xf>
    <xf numFmtId="37" fontId="12" fillId="5" borderId="16" xfId="3" applyFont="1" applyFill="1" applyBorder="1" applyAlignment="1">
      <alignment horizontal="center" vertical="center"/>
    </xf>
    <xf numFmtId="37" fontId="3" fillId="4" borderId="15" xfId="3" applyFont="1" applyFill="1" applyBorder="1" applyAlignment="1">
      <alignment horizontal="center"/>
    </xf>
    <xf numFmtId="37" fontId="5" fillId="0" borderId="11" xfId="3" applyFont="1" applyBorder="1" applyAlignment="1">
      <alignment horizontal="center"/>
    </xf>
    <xf numFmtId="37" fontId="5" fillId="0" borderId="15" xfId="3" applyFont="1" applyBorder="1" applyAlignment="1">
      <alignment horizontal="center"/>
    </xf>
    <xf numFmtId="37" fontId="5" fillId="0" borderId="17" xfId="3" applyFont="1" applyBorder="1" applyAlignment="1">
      <alignment horizontal="center"/>
    </xf>
    <xf numFmtId="37" fontId="5" fillId="0" borderId="18" xfId="3" applyFont="1" applyBorder="1" applyAlignment="1">
      <alignment horizontal="center"/>
    </xf>
    <xf numFmtId="37" fontId="5" fillId="4" borderId="19" xfId="3" applyFont="1" applyFill="1" applyBorder="1" applyAlignment="1">
      <alignment horizontal="center"/>
    </xf>
    <xf numFmtId="37" fontId="5" fillId="4" borderId="15" xfId="3" applyFont="1" applyFill="1" applyBorder="1" applyAlignment="1">
      <alignment horizontal="center"/>
    </xf>
    <xf numFmtId="37" fontId="6" fillId="0" borderId="20" xfId="3" applyFont="1" applyBorder="1" applyAlignment="1">
      <alignment horizontal="center" vertical="center" wrapText="1"/>
    </xf>
    <xf numFmtId="37" fontId="3" fillId="4" borderId="21" xfId="3" applyFont="1" applyFill="1" applyBorder="1" applyAlignment="1">
      <alignment horizontal="center"/>
    </xf>
    <xf numFmtId="37" fontId="3" fillId="5" borderId="22" xfId="3" applyFont="1" applyFill="1" applyBorder="1" applyAlignment="1">
      <alignment horizontal="center"/>
    </xf>
    <xf numFmtId="37" fontId="3" fillId="0" borderId="14" xfId="3" applyFont="1" applyBorder="1" applyAlignment="1">
      <alignment horizontal="center"/>
    </xf>
    <xf numFmtId="37" fontId="12" fillId="5" borderId="6" xfId="3" applyFont="1" applyFill="1" applyBorder="1" applyAlignment="1">
      <alignment horizontal="center" vertical="center"/>
    </xf>
    <xf numFmtId="37" fontId="12" fillId="5" borderId="8" xfId="3" applyFont="1" applyFill="1" applyBorder="1" applyAlignment="1">
      <alignment horizontal="center" vertical="center"/>
    </xf>
    <xf numFmtId="37" fontId="3" fillId="4" borderId="0" xfId="3" applyFont="1" applyFill="1" applyAlignment="1">
      <alignment horizontal="center"/>
    </xf>
    <xf numFmtId="37" fontId="13" fillId="0" borderId="13" xfId="3" applyFont="1" applyBorder="1" applyAlignment="1">
      <alignment horizontal="center"/>
    </xf>
    <xf numFmtId="37" fontId="13" fillId="0" borderId="11" xfId="3" applyFont="1" applyBorder="1" applyAlignment="1">
      <alignment horizontal="center"/>
    </xf>
    <xf numFmtId="37" fontId="13" fillId="0" borderId="12" xfId="3" applyFont="1" applyBorder="1" applyAlignment="1">
      <alignment horizontal="center"/>
    </xf>
    <xf numFmtId="37" fontId="13" fillId="0" borderId="5" xfId="3" applyFont="1" applyBorder="1" applyAlignment="1">
      <alignment horizontal="center"/>
    </xf>
    <xf numFmtId="37" fontId="13" fillId="4" borderId="19" xfId="3" applyFont="1" applyFill="1" applyBorder="1" applyAlignment="1">
      <alignment horizontal="center"/>
    </xf>
    <xf numFmtId="37" fontId="5" fillId="4" borderId="0" xfId="3" applyFont="1" applyFill="1" applyAlignment="1">
      <alignment horizontal="center"/>
    </xf>
    <xf numFmtId="37" fontId="6" fillId="0" borderId="23" xfId="3" applyFont="1" applyBorder="1" applyAlignment="1">
      <alignment horizontal="center" vertical="center" wrapText="1"/>
    </xf>
    <xf numFmtId="37" fontId="3" fillId="5" borderId="14" xfId="3" quotePrefix="1" applyFont="1" applyFill="1" applyBorder="1" applyAlignment="1">
      <alignment horizontal="center"/>
    </xf>
    <xf numFmtId="37" fontId="3" fillId="5" borderId="19" xfId="3" applyFont="1" applyFill="1" applyBorder="1" applyAlignment="1">
      <alignment horizontal="center"/>
    </xf>
    <xf numFmtId="37" fontId="14" fillId="5" borderId="24" xfId="3" applyFont="1" applyFill="1" applyBorder="1" applyAlignment="1">
      <alignment horizontal="center"/>
    </xf>
    <xf numFmtId="37" fontId="3" fillId="4" borderId="25" xfId="3" applyFont="1" applyFill="1" applyBorder="1" applyAlignment="1">
      <alignment horizontal="center"/>
    </xf>
    <xf numFmtId="164" fontId="3" fillId="4" borderId="14" xfId="3" quotePrefix="1" applyNumberFormat="1" applyFont="1" applyFill="1" applyBorder="1" applyAlignment="1">
      <alignment horizontal="center"/>
    </xf>
    <xf numFmtId="37" fontId="3" fillId="4" borderId="14" xfId="3" applyFont="1" applyFill="1" applyBorder="1" applyAlignment="1">
      <alignment horizontal="center"/>
    </xf>
    <xf numFmtId="49" fontId="3" fillId="0" borderId="14" xfId="3" applyNumberFormat="1" applyFont="1" applyBorder="1" applyAlignment="1">
      <alignment horizontal="center"/>
    </xf>
    <xf numFmtId="39" fontId="3" fillId="0" borderId="21" xfId="3" quotePrefix="1" applyNumberFormat="1" applyFont="1" applyBorder="1" applyAlignment="1">
      <alignment horizontal="center"/>
    </xf>
    <xf numFmtId="37" fontId="3" fillId="0" borderId="22" xfId="3" quotePrefix="1" applyFont="1" applyBorder="1" applyAlignment="1">
      <alignment horizontal="center"/>
    </xf>
    <xf numFmtId="37" fontId="3" fillId="0" borderId="5" xfId="3" quotePrefix="1" applyFont="1" applyBorder="1" applyAlignment="1">
      <alignment horizontal="center"/>
    </xf>
    <xf numFmtId="37" fontId="5" fillId="4" borderId="21" xfId="3" applyFont="1" applyFill="1" applyBorder="1" applyAlignment="1">
      <alignment horizontal="center"/>
    </xf>
    <xf numFmtId="37" fontId="6" fillId="0" borderId="26" xfId="3" applyFont="1" applyBorder="1" applyAlignment="1">
      <alignment horizontal="center" vertical="center" wrapText="1"/>
    </xf>
    <xf numFmtId="37" fontId="6" fillId="0" borderId="0" xfId="3" applyFont="1" applyAlignment="1">
      <alignment horizontal="center"/>
    </xf>
    <xf numFmtId="37" fontId="8" fillId="6" borderId="23" xfId="3" applyFont="1" applyFill="1" applyBorder="1"/>
    <xf numFmtId="37" fontId="8" fillId="6" borderId="23" xfId="3" applyFont="1" applyFill="1" applyBorder="1" applyAlignment="1">
      <alignment horizontal="center"/>
    </xf>
    <xf numFmtId="165" fontId="8" fillId="6" borderId="23" xfId="3" applyNumberFormat="1" applyFont="1" applyFill="1" applyBorder="1"/>
    <xf numFmtId="37" fontId="8" fillId="6" borderId="0" xfId="3" applyFont="1" applyFill="1"/>
    <xf numFmtId="37" fontId="8" fillId="7" borderId="0" xfId="3" applyFont="1" applyFill="1"/>
    <xf numFmtId="37" fontId="8" fillId="0" borderId="23" xfId="3" applyFont="1" applyBorder="1"/>
    <xf numFmtId="37" fontId="8" fillId="0" borderId="23" xfId="3" applyFont="1" applyBorder="1" applyAlignment="1">
      <alignment horizontal="center"/>
    </xf>
    <xf numFmtId="165" fontId="8" fillId="0" borderId="23" xfId="3" applyNumberFormat="1" applyFont="1" applyBorder="1"/>
    <xf numFmtId="37" fontId="8" fillId="8" borderId="0" xfId="3" applyFont="1" applyFill="1"/>
    <xf numFmtId="37" fontId="8" fillId="9" borderId="0" xfId="3" applyFont="1" applyFill="1"/>
    <xf numFmtId="37" fontId="15" fillId="6" borderId="23" xfId="3" applyFont="1" applyFill="1" applyBorder="1"/>
    <xf numFmtId="37" fontId="8" fillId="6" borderId="0" xfId="3" applyFont="1" applyFill="1" applyAlignment="1">
      <alignment horizontal="center"/>
    </xf>
    <xf numFmtId="37" fontId="16" fillId="6" borderId="0" xfId="3" applyFont="1" applyFill="1"/>
    <xf numFmtId="44" fontId="8" fillId="0" borderId="0" xfId="2" applyFont="1"/>
    <xf numFmtId="37" fontId="3" fillId="6" borderId="0" xfId="3" applyFont="1" applyFill="1"/>
    <xf numFmtId="37" fontId="3" fillId="6" borderId="1" xfId="3" applyFont="1" applyFill="1" applyBorder="1" applyAlignment="1">
      <alignment horizontal="center"/>
    </xf>
    <xf numFmtId="37" fontId="3" fillId="6" borderId="2" xfId="3" applyFont="1" applyFill="1" applyBorder="1" applyAlignment="1">
      <alignment horizontal="center"/>
    </xf>
    <xf numFmtId="37" fontId="3" fillId="6" borderId="3" xfId="3" applyFont="1" applyFill="1" applyBorder="1" applyAlignment="1">
      <alignment horizontal="center"/>
    </xf>
    <xf numFmtId="37" fontId="3" fillId="6" borderId="1" xfId="3" applyFont="1" applyFill="1" applyBorder="1" applyAlignment="1">
      <alignment horizontal="centerContinuous"/>
    </xf>
    <xf numFmtId="37" fontId="3" fillId="6" borderId="3" xfId="3" applyFont="1" applyFill="1" applyBorder="1" applyAlignment="1">
      <alignment horizontal="centerContinuous"/>
    </xf>
    <xf numFmtId="37" fontId="6" fillId="6" borderId="0" xfId="3" applyFont="1" applyFill="1"/>
    <xf numFmtId="37" fontId="3" fillId="6" borderId="4" xfId="3" applyFont="1" applyFill="1" applyBorder="1"/>
    <xf numFmtId="37" fontId="3" fillId="6" borderId="0" xfId="3" applyFont="1" applyFill="1" applyAlignment="1">
      <alignment horizontal="center"/>
    </xf>
    <xf numFmtId="37" fontId="3" fillId="6" borderId="5" xfId="3" applyFont="1" applyFill="1" applyBorder="1"/>
    <xf numFmtId="37" fontId="11" fillId="0" borderId="23" xfId="3" applyFont="1" applyBorder="1" applyAlignment="1">
      <alignment horizontal="center" vertical="center"/>
    </xf>
    <xf numFmtId="37" fontId="6" fillId="0" borderId="23" xfId="3" applyFont="1" applyBorder="1" applyAlignment="1">
      <alignment horizontal="center" vertical="center"/>
    </xf>
    <xf numFmtId="37" fontId="3" fillId="4" borderId="27" xfId="3" applyFont="1" applyFill="1" applyBorder="1" applyAlignment="1">
      <alignment horizontal="center"/>
    </xf>
    <xf numFmtId="37" fontId="3" fillId="5" borderId="28" xfId="3" applyFont="1" applyFill="1" applyBorder="1" applyAlignment="1">
      <alignment horizontal="center"/>
    </xf>
    <xf numFmtId="37" fontId="3" fillId="5" borderId="29" xfId="3" applyFont="1" applyFill="1" applyBorder="1" applyAlignment="1">
      <alignment horizontal="center"/>
    </xf>
    <xf numFmtId="37" fontId="3" fillId="0" borderId="29" xfId="3" applyFont="1" applyBorder="1" applyAlignment="1">
      <alignment horizontal="center"/>
    </xf>
    <xf numFmtId="37" fontId="3" fillId="5" borderId="29" xfId="3" quotePrefix="1" applyFont="1" applyFill="1" applyBorder="1" applyAlignment="1">
      <alignment horizontal="center"/>
    </xf>
    <xf numFmtId="37" fontId="3" fillId="5" borderId="30" xfId="3" applyFont="1" applyFill="1" applyBorder="1" applyAlignment="1">
      <alignment horizontal="center"/>
    </xf>
    <xf numFmtId="37" fontId="14" fillId="5" borderId="31" xfId="3" applyFont="1" applyFill="1" applyBorder="1" applyAlignment="1">
      <alignment horizontal="center"/>
    </xf>
    <xf numFmtId="37" fontId="3" fillId="4" borderId="32" xfId="3" applyFont="1" applyFill="1" applyBorder="1" applyAlignment="1">
      <alignment horizontal="center"/>
    </xf>
    <xf numFmtId="37" fontId="3" fillId="4" borderId="33" xfId="3" applyFont="1" applyFill="1" applyBorder="1" applyAlignment="1">
      <alignment horizontal="center"/>
    </xf>
    <xf numFmtId="37" fontId="3" fillId="0" borderId="33" xfId="3" applyFont="1" applyBorder="1" applyAlignment="1">
      <alignment horizontal="center"/>
    </xf>
    <xf numFmtId="39" fontId="3" fillId="0" borderId="27" xfId="3" applyNumberFormat="1" applyFont="1" applyBorder="1" applyAlignment="1">
      <alignment horizontal="center"/>
    </xf>
    <xf numFmtId="37" fontId="3" fillId="0" borderId="28" xfId="3" quotePrefix="1" applyFont="1" applyBorder="1" applyAlignment="1">
      <alignment horizontal="center"/>
    </xf>
    <xf numFmtId="37" fontId="3" fillId="0" borderId="34" xfId="3" quotePrefix="1" applyFont="1" applyBorder="1" applyAlignment="1">
      <alignment horizontal="center"/>
    </xf>
    <xf numFmtId="37" fontId="5" fillId="4" borderId="27" xfId="3" applyFont="1" applyFill="1" applyBorder="1" applyAlignment="1">
      <alignment horizontal="center"/>
    </xf>
    <xf numFmtId="37" fontId="8" fillId="0" borderId="0" xfId="3" applyFont="1" applyAlignment="1">
      <alignment horizontal="center"/>
    </xf>
    <xf numFmtId="165" fontId="8" fillId="0" borderId="0" xfId="3" applyNumberFormat="1" applyFont="1"/>
    <xf numFmtId="37" fontId="17" fillId="3" borderId="0" xfId="3" applyFont="1" applyFill="1" applyAlignment="1">
      <alignment horizontal="center" wrapText="1"/>
    </xf>
    <xf numFmtId="37" fontId="18" fillId="3" borderId="0" xfId="3" applyFont="1" applyFill="1" applyAlignment="1">
      <alignment horizontal="right"/>
    </xf>
    <xf numFmtId="43" fontId="8" fillId="3" borderId="0" xfId="1" applyFont="1" applyFill="1"/>
    <xf numFmtId="37" fontId="8" fillId="3" borderId="0" xfId="3" applyFont="1" applyFill="1"/>
    <xf numFmtId="37" fontId="19" fillId="3" borderId="0" xfId="3" applyFont="1" applyFill="1" applyAlignment="1">
      <alignment horizontal="center"/>
    </xf>
    <xf numFmtId="43" fontId="19" fillId="3" borderId="35" xfId="1" applyFont="1" applyFill="1" applyBorder="1"/>
    <xf numFmtId="37" fontId="7" fillId="2" borderId="1" xfId="3" applyFont="1" applyFill="1" applyBorder="1" applyAlignment="1">
      <alignment horizontal="centerContinuous"/>
    </xf>
    <xf numFmtId="37" fontId="7" fillId="2" borderId="2" xfId="3" applyFont="1" applyFill="1" applyBorder="1" applyAlignment="1">
      <alignment horizontal="centerContinuous"/>
    </xf>
    <xf numFmtId="37" fontId="7" fillId="2" borderId="2" xfId="3" applyFont="1" applyFill="1" applyBorder="1" applyAlignment="1">
      <alignment horizontal="center"/>
    </xf>
    <xf numFmtId="37" fontId="7" fillId="3" borderId="2" xfId="3" applyFont="1" applyFill="1" applyBorder="1" applyAlignment="1">
      <alignment horizontal="centerContinuous"/>
    </xf>
    <xf numFmtId="37" fontId="7" fillId="2" borderId="3" xfId="3" applyFont="1" applyFill="1" applyBorder="1" applyAlignment="1">
      <alignment horizontal="centerContinuous"/>
    </xf>
    <xf numFmtId="37" fontId="7" fillId="0" borderId="4" xfId="3" applyFont="1" applyBorder="1"/>
    <xf numFmtId="37" fontId="7" fillId="0" borderId="0" xfId="3" applyFont="1" applyAlignment="1">
      <alignment horizontal="center"/>
    </xf>
    <xf numFmtId="37" fontId="7" fillId="0" borderId="5" xfId="3" applyFont="1" applyBorder="1"/>
    <xf numFmtId="37" fontId="7" fillId="0" borderId="4" xfId="3" quotePrefix="1" applyFont="1" applyBorder="1" applyAlignment="1">
      <alignment horizontal="center"/>
    </xf>
    <xf numFmtId="37" fontId="7" fillId="0" borderId="6" xfId="3" quotePrefix="1" applyFont="1" applyBorder="1" applyAlignment="1">
      <alignment horizontal="center"/>
    </xf>
    <xf numFmtId="37" fontId="7" fillId="0" borderId="0" xfId="3" quotePrefix="1" applyFont="1" applyAlignment="1">
      <alignment horizontal="center"/>
    </xf>
    <xf numFmtId="37" fontId="7" fillId="0" borderId="7" xfId="3" quotePrefix="1" applyFont="1" applyBorder="1" applyAlignment="1">
      <alignment horizontal="center"/>
    </xf>
    <xf numFmtId="37" fontId="7" fillId="0" borderId="8" xfId="3" quotePrefix="1" applyFont="1" applyBorder="1" applyAlignment="1">
      <alignment horizontal="center"/>
    </xf>
    <xf numFmtId="37" fontId="7" fillId="0" borderId="9" xfId="3" quotePrefix="1" applyFont="1" applyBorder="1" applyAlignment="1">
      <alignment horizontal="center"/>
    </xf>
    <xf numFmtId="37" fontId="8" fillId="0" borderId="10" xfId="3" applyFont="1" applyBorder="1" applyAlignment="1">
      <alignment horizontal="center" vertical="center"/>
    </xf>
    <xf numFmtId="37" fontId="7" fillId="0" borderId="10" xfId="3" applyFont="1" applyBorder="1" applyAlignment="1">
      <alignment horizontal="center" vertical="center"/>
    </xf>
    <xf numFmtId="37" fontId="7" fillId="4" borderId="11" xfId="3" applyFont="1" applyFill="1" applyBorder="1" applyAlignment="1">
      <alignment horizontal="center"/>
    </xf>
    <xf numFmtId="37" fontId="7" fillId="5" borderId="12" xfId="3" applyFont="1" applyFill="1" applyBorder="1" applyAlignment="1">
      <alignment horizontal="center"/>
    </xf>
    <xf numFmtId="37" fontId="7" fillId="5" borderId="0" xfId="3" applyFont="1" applyFill="1"/>
    <xf numFmtId="37" fontId="7" fillId="5" borderId="13" xfId="3" applyFont="1" applyFill="1" applyBorder="1" applyAlignment="1">
      <alignment horizontal="center"/>
    </xf>
    <xf numFmtId="37" fontId="7" fillId="0" borderId="13" xfId="3" applyFont="1" applyBorder="1" applyAlignment="1">
      <alignment horizontal="center"/>
    </xf>
    <xf numFmtId="37" fontId="7" fillId="5" borderId="14" xfId="3" applyFont="1" applyFill="1" applyBorder="1" applyAlignment="1">
      <alignment horizontal="center"/>
    </xf>
    <xf numFmtId="37" fontId="7" fillId="5" borderId="15" xfId="3" applyFont="1" applyFill="1" applyBorder="1" applyAlignment="1">
      <alignment horizontal="center" vertical="center"/>
    </xf>
    <xf numFmtId="37" fontId="8" fillId="5" borderId="16" xfId="3" applyFont="1" applyFill="1" applyBorder="1" applyAlignment="1">
      <alignment horizontal="center" vertical="center"/>
    </xf>
    <xf numFmtId="37" fontId="7" fillId="4" borderId="15" xfId="3" applyFont="1" applyFill="1" applyBorder="1" applyAlignment="1">
      <alignment horizontal="center"/>
    </xf>
    <xf numFmtId="37" fontId="7" fillId="0" borderId="11" xfId="3" applyFont="1" applyBorder="1" applyAlignment="1">
      <alignment horizontal="center"/>
    </xf>
    <xf numFmtId="37" fontId="7" fillId="0" borderId="15" xfId="3" applyFont="1" applyBorder="1" applyAlignment="1">
      <alignment horizontal="center"/>
    </xf>
    <xf numFmtId="37" fontId="7" fillId="0" borderId="17" xfId="3" applyFont="1" applyBorder="1" applyAlignment="1">
      <alignment horizontal="center"/>
    </xf>
    <xf numFmtId="37" fontId="7" fillId="0" borderId="18" xfId="3" applyFont="1" applyBorder="1" applyAlignment="1">
      <alignment horizontal="center"/>
    </xf>
    <xf numFmtId="37" fontId="7" fillId="4" borderId="19" xfId="3" applyFont="1" applyFill="1" applyBorder="1" applyAlignment="1">
      <alignment horizontal="center"/>
    </xf>
    <xf numFmtId="37" fontId="7" fillId="0" borderId="20" xfId="3" applyFont="1" applyBorder="1" applyAlignment="1">
      <alignment horizontal="center" vertical="center" wrapText="1"/>
    </xf>
    <xf numFmtId="37" fontId="7" fillId="4" borderId="21" xfId="3" applyFont="1" applyFill="1" applyBorder="1" applyAlignment="1">
      <alignment horizontal="center"/>
    </xf>
    <xf numFmtId="37" fontId="7" fillId="5" borderId="22" xfId="3" applyFont="1" applyFill="1" applyBorder="1" applyAlignment="1">
      <alignment horizontal="center"/>
    </xf>
    <xf numFmtId="37" fontId="7" fillId="0" borderId="14" xfId="3" applyFont="1" applyBorder="1" applyAlignment="1">
      <alignment horizontal="center"/>
    </xf>
    <xf numFmtId="37" fontId="8" fillId="5" borderId="6" xfId="3" applyFont="1" applyFill="1" applyBorder="1" applyAlignment="1">
      <alignment horizontal="center" vertical="center"/>
    </xf>
    <xf numFmtId="37" fontId="8" fillId="5" borderId="8" xfId="3" applyFont="1" applyFill="1" applyBorder="1" applyAlignment="1">
      <alignment horizontal="center" vertical="center"/>
    </xf>
    <xf numFmtId="37" fontId="7" fillId="4" borderId="0" xfId="3" applyFont="1" applyFill="1" applyAlignment="1">
      <alignment horizontal="center"/>
    </xf>
    <xf numFmtId="37" fontId="7" fillId="0" borderId="12" xfId="3" applyFont="1" applyBorder="1" applyAlignment="1">
      <alignment horizontal="center"/>
    </xf>
    <xf numFmtId="37" fontId="7" fillId="0" borderId="5" xfId="3" applyFont="1" applyBorder="1" applyAlignment="1">
      <alignment horizontal="center"/>
    </xf>
    <xf numFmtId="37" fontId="7" fillId="0" borderId="23" xfId="3" applyFont="1" applyBorder="1" applyAlignment="1">
      <alignment horizontal="center" vertical="center" wrapText="1"/>
    </xf>
    <xf numFmtId="37" fontId="7" fillId="5" borderId="28" xfId="3" applyFont="1" applyFill="1" applyBorder="1" applyAlignment="1">
      <alignment horizontal="center"/>
    </xf>
    <xf numFmtId="37" fontId="7" fillId="5" borderId="29" xfId="3" applyFont="1" applyFill="1" applyBorder="1" applyAlignment="1">
      <alignment horizontal="center"/>
    </xf>
    <xf numFmtId="37" fontId="7" fillId="0" borderId="29" xfId="3" applyFont="1" applyBorder="1" applyAlignment="1">
      <alignment horizontal="center"/>
    </xf>
    <xf numFmtId="37" fontId="7" fillId="5" borderId="29" xfId="3" quotePrefix="1" applyFont="1" applyFill="1" applyBorder="1" applyAlignment="1">
      <alignment horizontal="center"/>
    </xf>
    <xf numFmtId="37" fontId="7" fillId="5" borderId="30" xfId="3" applyFont="1" applyFill="1" applyBorder="1" applyAlignment="1">
      <alignment horizontal="center"/>
    </xf>
    <xf numFmtId="37" fontId="7" fillId="5" borderId="31" xfId="3" applyFont="1" applyFill="1" applyBorder="1" applyAlignment="1">
      <alignment horizontal="center"/>
    </xf>
    <xf numFmtId="37" fontId="7" fillId="4" borderId="36" xfId="3" applyFont="1" applyFill="1" applyBorder="1" applyAlignment="1">
      <alignment horizontal="center"/>
    </xf>
    <xf numFmtId="164" fontId="7" fillId="4" borderId="29" xfId="3" quotePrefix="1" applyNumberFormat="1" applyFont="1" applyFill="1" applyBorder="1" applyAlignment="1">
      <alignment horizontal="center"/>
    </xf>
    <xf numFmtId="37" fontId="7" fillId="4" borderId="29" xfId="3" applyFont="1" applyFill="1" applyBorder="1" applyAlignment="1">
      <alignment horizontal="center"/>
    </xf>
    <xf numFmtId="49" fontId="7" fillId="0" borderId="29" xfId="3" applyNumberFormat="1" applyFont="1" applyBorder="1" applyAlignment="1">
      <alignment horizontal="center"/>
    </xf>
    <xf numFmtId="39" fontId="7" fillId="0" borderId="37" xfId="3" quotePrefix="1" applyNumberFormat="1" applyFont="1" applyBorder="1" applyAlignment="1">
      <alignment horizontal="center"/>
    </xf>
    <xf numFmtId="37" fontId="7" fillId="0" borderId="28" xfId="3" quotePrefix="1" applyFont="1" applyBorder="1" applyAlignment="1">
      <alignment horizontal="center"/>
    </xf>
    <xf numFmtId="37" fontId="7" fillId="0" borderId="34" xfId="3" quotePrefix="1" applyFont="1" applyBorder="1" applyAlignment="1">
      <alignment horizontal="center"/>
    </xf>
    <xf numFmtId="37" fontId="7" fillId="4" borderId="37" xfId="3" applyFont="1" applyFill="1" applyBorder="1" applyAlignment="1">
      <alignment horizontal="center"/>
    </xf>
    <xf numFmtId="37" fontId="7" fillId="0" borderId="38" xfId="3" applyFont="1" applyBorder="1" applyAlignment="1">
      <alignment horizontal="center" vertical="center" wrapText="1"/>
    </xf>
    <xf numFmtId="37" fontId="20" fillId="6" borderId="39" xfId="3" applyFont="1" applyFill="1" applyBorder="1"/>
    <xf numFmtId="37" fontId="20" fillId="6" borderId="40" xfId="3" applyFont="1" applyFill="1" applyBorder="1" applyAlignment="1">
      <alignment horizontal="center"/>
    </xf>
    <xf numFmtId="37" fontId="20" fillId="6" borderId="40" xfId="3" applyFont="1" applyFill="1" applyBorder="1"/>
    <xf numFmtId="37" fontId="8" fillId="6" borderId="40" xfId="3" applyFont="1" applyFill="1" applyBorder="1" applyAlignment="1">
      <alignment horizontal="center"/>
    </xf>
    <xf numFmtId="37" fontId="8" fillId="6" borderId="40" xfId="3" applyFont="1" applyFill="1" applyBorder="1"/>
    <xf numFmtId="165" fontId="8" fillId="6" borderId="40" xfId="3" applyNumberFormat="1" applyFont="1" applyFill="1" applyBorder="1"/>
    <xf numFmtId="37" fontId="8" fillId="6" borderId="39" xfId="3" applyFont="1" applyFill="1" applyBorder="1"/>
    <xf numFmtId="37" fontId="8" fillId="0" borderId="39" xfId="3" applyFont="1" applyBorder="1"/>
    <xf numFmtId="37" fontId="20" fillId="6" borderId="39" xfId="3" applyFont="1" applyFill="1" applyBorder="1" applyAlignment="1">
      <alignment horizontal="center"/>
    </xf>
    <xf numFmtId="37" fontId="8" fillId="6" borderId="39" xfId="3" applyFont="1" applyFill="1" applyBorder="1" applyAlignment="1">
      <alignment horizontal="center"/>
    </xf>
    <xf numFmtId="165" fontId="8" fillId="6" borderId="39" xfId="3" applyNumberFormat="1" applyFont="1" applyFill="1" applyBorder="1"/>
    <xf numFmtId="37" fontId="8" fillId="0" borderId="39" xfId="3" applyFont="1" applyBorder="1" applyAlignment="1">
      <alignment horizontal="center"/>
    </xf>
    <xf numFmtId="37" fontId="20" fillId="0" borderId="39" xfId="3" applyFont="1" applyBorder="1"/>
    <xf numFmtId="37" fontId="20" fillId="0" borderId="39" xfId="3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Folder/Budget/FY2025%20Budget%20Request%20CD/Public%20Defender%20Service%20Corporation/FY%202024%20CURRENT%20STAFF%20PATTER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irector's Office"/>
      <sheetName val="Attorneys"/>
      <sheetName val="Investigative Services"/>
      <sheetName val="Legal Secretarial Services"/>
      <sheetName val="Records, Property Control"/>
      <sheetName val="Process"/>
      <sheetName val="Legal Clerical Services"/>
      <sheetName val="Fiscal"/>
      <sheetName val="Personnel"/>
      <sheetName val="MIS Services"/>
      <sheetName val="PARALEGAL"/>
    </sheetNames>
    <sheetDataSet>
      <sheetData sheetId="0">
        <row r="4">
          <cell r="M4" t="str">
            <v>Fiscal Year 2024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V129"/>
  <sheetViews>
    <sheetView tabSelected="1" zoomScaleNormal="100" zoomScaleSheetLayoutView="50" workbookViewId="0">
      <selection activeCell="I23" sqref="I23"/>
    </sheetView>
  </sheetViews>
  <sheetFormatPr defaultColWidth="11.28515625" defaultRowHeight="11.25"/>
  <cols>
    <col min="1" max="1" width="3.5703125" style="7" customWidth="1"/>
    <col min="2" max="2" width="10.85546875" style="7" customWidth="1"/>
    <col min="3" max="4" width="27.140625" style="7" customWidth="1"/>
    <col min="5" max="5" width="8.42578125" style="113" customWidth="1"/>
    <col min="6" max="6" width="15.140625" style="7" customWidth="1"/>
    <col min="7" max="7" width="9.85546875" style="7" customWidth="1"/>
    <col min="8" max="8" width="7.5703125" style="7" customWidth="1"/>
    <col min="9" max="9" width="8.7109375" style="7" customWidth="1"/>
    <col min="10" max="10" width="7.28515625" style="7" customWidth="1"/>
    <col min="11" max="11" width="8.28515625" style="7" customWidth="1"/>
    <col min="12" max="12" width="10.5703125" style="7" customWidth="1"/>
    <col min="13" max="13" width="10.28515625" style="7" customWidth="1"/>
    <col min="14" max="14" width="9.140625" style="7" hidden="1" customWidth="1"/>
    <col min="15" max="15" width="8.7109375" style="7" customWidth="1"/>
    <col min="16" max="16" width="8.5703125" style="7" bestFit="1" customWidth="1"/>
    <col min="17" max="18" width="9.5703125" style="7" bestFit="1" customWidth="1"/>
    <col min="19" max="19" width="11.7109375" style="7" bestFit="1" customWidth="1"/>
    <col min="20" max="20" width="8.42578125" style="7" bestFit="1" customWidth="1"/>
    <col min="21" max="21" width="10.85546875" style="7" customWidth="1"/>
    <col min="22" max="22" width="12.28515625" style="7" customWidth="1"/>
    <col min="23" max="256" width="11.28515625" style="7"/>
    <col min="257" max="257" width="3.5703125" style="7" customWidth="1"/>
    <col min="258" max="258" width="7.42578125" style="7" customWidth="1"/>
    <col min="259" max="259" width="27.140625" style="7" customWidth="1"/>
    <col min="260" max="260" width="22.42578125" style="7" customWidth="1"/>
    <col min="261" max="261" width="7.5703125" style="7" customWidth="1"/>
    <col min="262" max="262" width="8.5703125" style="7" bestFit="1" customWidth="1"/>
    <col min="263" max="263" width="6.140625" style="7" customWidth="1"/>
    <col min="264" max="264" width="7.5703125" style="7" customWidth="1"/>
    <col min="265" max="265" width="8.7109375" style="7" customWidth="1"/>
    <col min="266" max="266" width="7.28515625" style="7" customWidth="1"/>
    <col min="267" max="267" width="8.28515625" style="7" customWidth="1"/>
    <col min="268" max="268" width="10.5703125" style="7" customWidth="1"/>
    <col min="269" max="269" width="10.42578125" style="7" customWidth="1"/>
    <col min="270" max="270" width="0.42578125" style="7" customWidth="1"/>
    <col min="271" max="271" width="9" style="7" customWidth="1"/>
    <col min="272" max="272" width="6.85546875" style="7" customWidth="1"/>
    <col min="273" max="274" width="8" style="7" customWidth="1"/>
    <col min="275" max="275" width="10.85546875" style="7" customWidth="1"/>
    <col min="276" max="276" width="9.85546875" style="7" bestFit="1" customWidth="1"/>
    <col min="277" max="512" width="11.28515625" style="7"/>
    <col min="513" max="513" width="3.5703125" style="7" customWidth="1"/>
    <col min="514" max="514" width="7.42578125" style="7" customWidth="1"/>
    <col min="515" max="515" width="27.140625" style="7" customWidth="1"/>
    <col min="516" max="516" width="22.42578125" style="7" customWidth="1"/>
    <col min="517" max="517" width="7.5703125" style="7" customWidth="1"/>
    <col min="518" max="518" width="8.5703125" style="7" bestFit="1" customWidth="1"/>
    <col min="519" max="519" width="6.140625" style="7" customWidth="1"/>
    <col min="520" max="520" width="7.5703125" style="7" customWidth="1"/>
    <col min="521" max="521" width="8.7109375" style="7" customWidth="1"/>
    <col min="522" max="522" width="7.28515625" style="7" customWidth="1"/>
    <col min="523" max="523" width="8.28515625" style="7" customWidth="1"/>
    <col min="524" max="524" width="10.5703125" style="7" customWidth="1"/>
    <col min="525" max="525" width="10.42578125" style="7" customWidth="1"/>
    <col min="526" max="526" width="0.42578125" style="7" customWidth="1"/>
    <col min="527" max="527" width="9" style="7" customWidth="1"/>
    <col min="528" max="528" width="6.85546875" style="7" customWidth="1"/>
    <col min="529" max="530" width="8" style="7" customWidth="1"/>
    <col min="531" max="531" width="10.85546875" style="7" customWidth="1"/>
    <col min="532" max="532" width="9.85546875" style="7" bestFit="1" customWidth="1"/>
    <col min="533" max="768" width="11.28515625" style="7"/>
    <col min="769" max="769" width="3.5703125" style="7" customWidth="1"/>
    <col min="770" max="770" width="7.42578125" style="7" customWidth="1"/>
    <col min="771" max="771" width="27.140625" style="7" customWidth="1"/>
    <col min="772" max="772" width="22.42578125" style="7" customWidth="1"/>
    <col min="773" max="773" width="7.5703125" style="7" customWidth="1"/>
    <col min="774" max="774" width="8.5703125" style="7" bestFit="1" customWidth="1"/>
    <col min="775" max="775" width="6.140625" style="7" customWidth="1"/>
    <col min="776" max="776" width="7.5703125" style="7" customWidth="1"/>
    <col min="777" max="777" width="8.7109375" style="7" customWidth="1"/>
    <col min="778" max="778" width="7.28515625" style="7" customWidth="1"/>
    <col min="779" max="779" width="8.28515625" style="7" customWidth="1"/>
    <col min="780" max="780" width="10.5703125" style="7" customWidth="1"/>
    <col min="781" max="781" width="10.42578125" style="7" customWidth="1"/>
    <col min="782" max="782" width="0.42578125" style="7" customWidth="1"/>
    <col min="783" max="783" width="9" style="7" customWidth="1"/>
    <col min="784" max="784" width="6.85546875" style="7" customWidth="1"/>
    <col min="785" max="786" width="8" style="7" customWidth="1"/>
    <col min="787" max="787" width="10.85546875" style="7" customWidth="1"/>
    <col min="788" max="788" width="9.85546875" style="7" bestFit="1" customWidth="1"/>
    <col min="789" max="1024" width="11.28515625" style="7"/>
    <col min="1025" max="1025" width="3.5703125" style="7" customWidth="1"/>
    <col min="1026" max="1026" width="7.42578125" style="7" customWidth="1"/>
    <col min="1027" max="1027" width="27.140625" style="7" customWidth="1"/>
    <col min="1028" max="1028" width="22.42578125" style="7" customWidth="1"/>
    <col min="1029" max="1029" width="7.5703125" style="7" customWidth="1"/>
    <col min="1030" max="1030" width="8.5703125" style="7" bestFit="1" customWidth="1"/>
    <col min="1031" max="1031" width="6.140625" style="7" customWidth="1"/>
    <col min="1032" max="1032" width="7.5703125" style="7" customWidth="1"/>
    <col min="1033" max="1033" width="8.7109375" style="7" customWidth="1"/>
    <col min="1034" max="1034" width="7.28515625" style="7" customWidth="1"/>
    <col min="1035" max="1035" width="8.28515625" style="7" customWidth="1"/>
    <col min="1036" max="1036" width="10.5703125" style="7" customWidth="1"/>
    <col min="1037" max="1037" width="10.42578125" style="7" customWidth="1"/>
    <col min="1038" max="1038" width="0.42578125" style="7" customWidth="1"/>
    <col min="1039" max="1039" width="9" style="7" customWidth="1"/>
    <col min="1040" max="1040" width="6.85546875" style="7" customWidth="1"/>
    <col min="1041" max="1042" width="8" style="7" customWidth="1"/>
    <col min="1043" max="1043" width="10.85546875" style="7" customWidth="1"/>
    <col min="1044" max="1044" width="9.85546875" style="7" bestFit="1" customWidth="1"/>
    <col min="1045" max="1280" width="11.28515625" style="7"/>
    <col min="1281" max="1281" width="3.5703125" style="7" customWidth="1"/>
    <col min="1282" max="1282" width="7.42578125" style="7" customWidth="1"/>
    <col min="1283" max="1283" width="27.140625" style="7" customWidth="1"/>
    <col min="1284" max="1284" width="22.42578125" style="7" customWidth="1"/>
    <col min="1285" max="1285" width="7.5703125" style="7" customWidth="1"/>
    <col min="1286" max="1286" width="8.5703125" style="7" bestFit="1" customWidth="1"/>
    <col min="1287" max="1287" width="6.140625" style="7" customWidth="1"/>
    <col min="1288" max="1288" width="7.5703125" style="7" customWidth="1"/>
    <col min="1289" max="1289" width="8.7109375" style="7" customWidth="1"/>
    <col min="1290" max="1290" width="7.28515625" style="7" customWidth="1"/>
    <col min="1291" max="1291" width="8.28515625" style="7" customWidth="1"/>
    <col min="1292" max="1292" width="10.5703125" style="7" customWidth="1"/>
    <col min="1293" max="1293" width="10.42578125" style="7" customWidth="1"/>
    <col min="1294" max="1294" width="0.42578125" style="7" customWidth="1"/>
    <col min="1295" max="1295" width="9" style="7" customWidth="1"/>
    <col min="1296" max="1296" width="6.85546875" style="7" customWidth="1"/>
    <col min="1297" max="1298" width="8" style="7" customWidth="1"/>
    <col min="1299" max="1299" width="10.85546875" style="7" customWidth="1"/>
    <col min="1300" max="1300" width="9.85546875" style="7" bestFit="1" customWidth="1"/>
    <col min="1301" max="1536" width="11.28515625" style="7"/>
    <col min="1537" max="1537" width="3.5703125" style="7" customWidth="1"/>
    <col min="1538" max="1538" width="7.42578125" style="7" customWidth="1"/>
    <col min="1539" max="1539" width="27.140625" style="7" customWidth="1"/>
    <col min="1540" max="1540" width="22.42578125" style="7" customWidth="1"/>
    <col min="1541" max="1541" width="7.5703125" style="7" customWidth="1"/>
    <col min="1542" max="1542" width="8.5703125" style="7" bestFit="1" customWidth="1"/>
    <col min="1543" max="1543" width="6.140625" style="7" customWidth="1"/>
    <col min="1544" max="1544" width="7.5703125" style="7" customWidth="1"/>
    <col min="1545" max="1545" width="8.7109375" style="7" customWidth="1"/>
    <col min="1546" max="1546" width="7.28515625" style="7" customWidth="1"/>
    <col min="1547" max="1547" width="8.28515625" style="7" customWidth="1"/>
    <col min="1548" max="1548" width="10.5703125" style="7" customWidth="1"/>
    <col min="1549" max="1549" width="10.42578125" style="7" customWidth="1"/>
    <col min="1550" max="1550" width="0.42578125" style="7" customWidth="1"/>
    <col min="1551" max="1551" width="9" style="7" customWidth="1"/>
    <col min="1552" max="1552" width="6.85546875" style="7" customWidth="1"/>
    <col min="1553" max="1554" width="8" style="7" customWidth="1"/>
    <col min="1555" max="1555" width="10.85546875" style="7" customWidth="1"/>
    <col min="1556" max="1556" width="9.85546875" style="7" bestFit="1" customWidth="1"/>
    <col min="1557" max="1792" width="11.28515625" style="7"/>
    <col min="1793" max="1793" width="3.5703125" style="7" customWidth="1"/>
    <col min="1794" max="1794" width="7.42578125" style="7" customWidth="1"/>
    <col min="1795" max="1795" width="27.140625" style="7" customWidth="1"/>
    <col min="1796" max="1796" width="22.42578125" style="7" customWidth="1"/>
    <col min="1797" max="1797" width="7.5703125" style="7" customWidth="1"/>
    <col min="1798" max="1798" width="8.5703125" style="7" bestFit="1" customWidth="1"/>
    <col min="1799" max="1799" width="6.140625" style="7" customWidth="1"/>
    <col min="1800" max="1800" width="7.5703125" style="7" customWidth="1"/>
    <col min="1801" max="1801" width="8.7109375" style="7" customWidth="1"/>
    <col min="1802" max="1802" width="7.28515625" style="7" customWidth="1"/>
    <col min="1803" max="1803" width="8.28515625" style="7" customWidth="1"/>
    <col min="1804" max="1804" width="10.5703125" style="7" customWidth="1"/>
    <col min="1805" max="1805" width="10.42578125" style="7" customWidth="1"/>
    <col min="1806" max="1806" width="0.42578125" style="7" customWidth="1"/>
    <col min="1807" max="1807" width="9" style="7" customWidth="1"/>
    <col min="1808" max="1808" width="6.85546875" style="7" customWidth="1"/>
    <col min="1809" max="1810" width="8" style="7" customWidth="1"/>
    <col min="1811" max="1811" width="10.85546875" style="7" customWidth="1"/>
    <col min="1812" max="1812" width="9.85546875" style="7" bestFit="1" customWidth="1"/>
    <col min="1813" max="2048" width="11.28515625" style="7"/>
    <col min="2049" max="2049" width="3.5703125" style="7" customWidth="1"/>
    <col min="2050" max="2050" width="7.42578125" style="7" customWidth="1"/>
    <col min="2051" max="2051" width="27.140625" style="7" customWidth="1"/>
    <col min="2052" max="2052" width="22.42578125" style="7" customWidth="1"/>
    <col min="2053" max="2053" width="7.5703125" style="7" customWidth="1"/>
    <col min="2054" max="2054" width="8.5703125" style="7" bestFit="1" customWidth="1"/>
    <col min="2055" max="2055" width="6.140625" style="7" customWidth="1"/>
    <col min="2056" max="2056" width="7.5703125" style="7" customWidth="1"/>
    <col min="2057" max="2057" width="8.7109375" style="7" customWidth="1"/>
    <col min="2058" max="2058" width="7.28515625" style="7" customWidth="1"/>
    <col min="2059" max="2059" width="8.28515625" style="7" customWidth="1"/>
    <col min="2060" max="2060" width="10.5703125" style="7" customWidth="1"/>
    <col min="2061" max="2061" width="10.42578125" style="7" customWidth="1"/>
    <col min="2062" max="2062" width="0.42578125" style="7" customWidth="1"/>
    <col min="2063" max="2063" width="9" style="7" customWidth="1"/>
    <col min="2064" max="2064" width="6.85546875" style="7" customWidth="1"/>
    <col min="2065" max="2066" width="8" style="7" customWidth="1"/>
    <col min="2067" max="2067" width="10.85546875" style="7" customWidth="1"/>
    <col min="2068" max="2068" width="9.85546875" style="7" bestFit="1" customWidth="1"/>
    <col min="2069" max="2304" width="11.28515625" style="7"/>
    <col min="2305" max="2305" width="3.5703125" style="7" customWidth="1"/>
    <col min="2306" max="2306" width="7.42578125" style="7" customWidth="1"/>
    <col min="2307" max="2307" width="27.140625" style="7" customWidth="1"/>
    <col min="2308" max="2308" width="22.42578125" style="7" customWidth="1"/>
    <col min="2309" max="2309" width="7.5703125" style="7" customWidth="1"/>
    <col min="2310" max="2310" width="8.5703125" style="7" bestFit="1" customWidth="1"/>
    <col min="2311" max="2311" width="6.140625" style="7" customWidth="1"/>
    <col min="2312" max="2312" width="7.5703125" style="7" customWidth="1"/>
    <col min="2313" max="2313" width="8.7109375" style="7" customWidth="1"/>
    <col min="2314" max="2314" width="7.28515625" style="7" customWidth="1"/>
    <col min="2315" max="2315" width="8.28515625" style="7" customWidth="1"/>
    <col min="2316" max="2316" width="10.5703125" style="7" customWidth="1"/>
    <col min="2317" max="2317" width="10.42578125" style="7" customWidth="1"/>
    <col min="2318" max="2318" width="0.42578125" style="7" customWidth="1"/>
    <col min="2319" max="2319" width="9" style="7" customWidth="1"/>
    <col min="2320" max="2320" width="6.85546875" style="7" customWidth="1"/>
    <col min="2321" max="2322" width="8" style="7" customWidth="1"/>
    <col min="2323" max="2323" width="10.85546875" style="7" customWidth="1"/>
    <col min="2324" max="2324" width="9.85546875" style="7" bestFit="1" customWidth="1"/>
    <col min="2325" max="2560" width="11.28515625" style="7"/>
    <col min="2561" max="2561" width="3.5703125" style="7" customWidth="1"/>
    <col min="2562" max="2562" width="7.42578125" style="7" customWidth="1"/>
    <col min="2563" max="2563" width="27.140625" style="7" customWidth="1"/>
    <col min="2564" max="2564" width="22.42578125" style="7" customWidth="1"/>
    <col min="2565" max="2565" width="7.5703125" style="7" customWidth="1"/>
    <col min="2566" max="2566" width="8.5703125" style="7" bestFit="1" customWidth="1"/>
    <col min="2567" max="2567" width="6.140625" style="7" customWidth="1"/>
    <col min="2568" max="2568" width="7.5703125" style="7" customWidth="1"/>
    <col min="2569" max="2569" width="8.7109375" style="7" customWidth="1"/>
    <col min="2570" max="2570" width="7.28515625" style="7" customWidth="1"/>
    <col min="2571" max="2571" width="8.28515625" style="7" customWidth="1"/>
    <col min="2572" max="2572" width="10.5703125" style="7" customWidth="1"/>
    <col min="2573" max="2573" width="10.42578125" style="7" customWidth="1"/>
    <col min="2574" max="2574" width="0.42578125" style="7" customWidth="1"/>
    <col min="2575" max="2575" width="9" style="7" customWidth="1"/>
    <col min="2576" max="2576" width="6.85546875" style="7" customWidth="1"/>
    <col min="2577" max="2578" width="8" style="7" customWidth="1"/>
    <col min="2579" max="2579" width="10.85546875" style="7" customWidth="1"/>
    <col min="2580" max="2580" width="9.85546875" style="7" bestFit="1" customWidth="1"/>
    <col min="2581" max="2816" width="11.28515625" style="7"/>
    <col min="2817" max="2817" width="3.5703125" style="7" customWidth="1"/>
    <col min="2818" max="2818" width="7.42578125" style="7" customWidth="1"/>
    <col min="2819" max="2819" width="27.140625" style="7" customWidth="1"/>
    <col min="2820" max="2820" width="22.42578125" style="7" customWidth="1"/>
    <col min="2821" max="2821" width="7.5703125" style="7" customWidth="1"/>
    <col min="2822" max="2822" width="8.5703125" style="7" bestFit="1" customWidth="1"/>
    <col min="2823" max="2823" width="6.140625" style="7" customWidth="1"/>
    <col min="2824" max="2824" width="7.5703125" style="7" customWidth="1"/>
    <col min="2825" max="2825" width="8.7109375" style="7" customWidth="1"/>
    <col min="2826" max="2826" width="7.28515625" style="7" customWidth="1"/>
    <col min="2827" max="2827" width="8.28515625" style="7" customWidth="1"/>
    <col min="2828" max="2828" width="10.5703125" style="7" customWidth="1"/>
    <col min="2829" max="2829" width="10.42578125" style="7" customWidth="1"/>
    <col min="2830" max="2830" width="0.42578125" style="7" customWidth="1"/>
    <col min="2831" max="2831" width="9" style="7" customWidth="1"/>
    <col min="2832" max="2832" width="6.85546875" style="7" customWidth="1"/>
    <col min="2833" max="2834" width="8" style="7" customWidth="1"/>
    <col min="2835" max="2835" width="10.85546875" style="7" customWidth="1"/>
    <col min="2836" max="2836" width="9.85546875" style="7" bestFit="1" customWidth="1"/>
    <col min="2837" max="3072" width="11.28515625" style="7"/>
    <col min="3073" max="3073" width="3.5703125" style="7" customWidth="1"/>
    <col min="3074" max="3074" width="7.42578125" style="7" customWidth="1"/>
    <col min="3075" max="3075" width="27.140625" style="7" customWidth="1"/>
    <col min="3076" max="3076" width="22.42578125" style="7" customWidth="1"/>
    <col min="3077" max="3077" width="7.5703125" style="7" customWidth="1"/>
    <col min="3078" max="3078" width="8.5703125" style="7" bestFit="1" customWidth="1"/>
    <col min="3079" max="3079" width="6.140625" style="7" customWidth="1"/>
    <col min="3080" max="3080" width="7.5703125" style="7" customWidth="1"/>
    <col min="3081" max="3081" width="8.7109375" style="7" customWidth="1"/>
    <col min="3082" max="3082" width="7.28515625" style="7" customWidth="1"/>
    <col min="3083" max="3083" width="8.28515625" style="7" customWidth="1"/>
    <col min="3084" max="3084" width="10.5703125" style="7" customWidth="1"/>
    <col min="3085" max="3085" width="10.42578125" style="7" customWidth="1"/>
    <col min="3086" max="3086" width="0.42578125" style="7" customWidth="1"/>
    <col min="3087" max="3087" width="9" style="7" customWidth="1"/>
    <col min="3088" max="3088" width="6.85546875" style="7" customWidth="1"/>
    <col min="3089" max="3090" width="8" style="7" customWidth="1"/>
    <col min="3091" max="3091" width="10.85546875" style="7" customWidth="1"/>
    <col min="3092" max="3092" width="9.85546875" style="7" bestFit="1" customWidth="1"/>
    <col min="3093" max="3328" width="11.28515625" style="7"/>
    <col min="3329" max="3329" width="3.5703125" style="7" customWidth="1"/>
    <col min="3330" max="3330" width="7.42578125" style="7" customWidth="1"/>
    <col min="3331" max="3331" width="27.140625" style="7" customWidth="1"/>
    <col min="3332" max="3332" width="22.42578125" style="7" customWidth="1"/>
    <col min="3333" max="3333" width="7.5703125" style="7" customWidth="1"/>
    <col min="3334" max="3334" width="8.5703125" style="7" bestFit="1" customWidth="1"/>
    <col min="3335" max="3335" width="6.140625" style="7" customWidth="1"/>
    <col min="3336" max="3336" width="7.5703125" style="7" customWidth="1"/>
    <col min="3337" max="3337" width="8.7109375" style="7" customWidth="1"/>
    <col min="3338" max="3338" width="7.28515625" style="7" customWidth="1"/>
    <col min="3339" max="3339" width="8.28515625" style="7" customWidth="1"/>
    <col min="3340" max="3340" width="10.5703125" style="7" customWidth="1"/>
    <col min="3341" max="3341" width="10.42578125" style="7" customWidth="1"/>
    <col min="3342" max="3342" width="0.42578125" style="7" customWidth="1"/>
    <col min="3343" max="3343" width="9" style="7" customWidth="1"/>
    <col min="3344" max="3344" width="6.85546875" style="7" customWidth="1"/>
    <col min="3345" max="3346" width="8" style="7" customWidth="1"/>
    <col min="3347" max="3347" width="10.85546875" style="7" customWidth="1"/>
    <col min="3348" max="3348" width="9.85546875" style="7" bestFit="1" customWidth="1"/>
    <col min="3349" max="3584" width="11.28515625" style="7"/>
    <col min="3585" max="3585" width="3.5703125" style="7" customWidth="1"/>
    <col min="3586" max="3586" width="7.42578125" style="7" customWidth="1"/>
    <col min="3587" max="3587" width="27.140625" style="7" customWidth="1"/>
    <col min="3588" max="3588" width="22.42578125" style="7" customWidth="1"/>
    <col min="3589" max="3589" width="7.5703125" style="7" customWidth="1"/>
    <col min="3590" max="3590" width="8.5703125" style="7" bestFit="1" customWidth="1"/>
    <col min="3591" max="3591" width="6.140625" style="7" customWidth="1"/>
    <col min="3592" max="3592" width="7.5703125" style="7" customWidth="1"/>
    <col min="3593" max="3593" width="8.7109375" style="7" customWidth="1"/>
    <col min="3594" max="3594" width="7.28515625" style="7" customWidth="1"/>
    <col min="3595" max="3595" width="8.28515625" style="7" customWidth="1"/>
    <col min="3596" max="3596" width="10.5703125" style="7" customWidth="1"/>
    <col min="3597" max="3597" width="10.42578125" style="7" customWidth="1"/>
    <col min="3598" max="3598" width="0.42578125" style="7" customWidth="1"/>
    <col min="3599" max="3599" width="9" style="7" customWidth="1"/>
    <col min="3600" max="3600" width="6.85546875" style="7" customWidth="1"/>
    <col min="3601" max="3602" width="8" style="7" customWidth="1"/>
    <col min="3603" max="3603" width="10.85546875" style="7" customWidth="1"/>
    <col min="3604" max="3604" width="9.85546875" style="7" bestFit="1" customWidth="1"/>
    <col min="3605" max="3840" width="11.28515625" style="7"/>
    <col min="3841" max="3841" width="3.5703125" style="7" customWidth="1"/>
    <col min="3842" max="3842" width="7.42578125" style="7" customWidth="1"/>
    <col min="3843" max="3843" width="27.140625" style="7" customWidth="1"/>
    <col min="3844" max="3844" width="22.42578125" style="7" customWidth="1"/>
    <col min="3845" max="3845" width="7.5703125" style="7" customWidth="1"/>
    <col min="3846" max="3846" width="8.5703125" style="7" bestFit="1" customWidth="1"/>
    <col min="3847" max="3847" width="6.140625" style="7" customWidth="1"/>
    <col min="3848" max="3848" width="7.5703125" style="7" customWidth="1"/>
    <col min="3849" max="3849" width="8.7109375" style="7" customWidth="1"/>
    <col min="3850" max="3850" width="7.28515625" style="7" customWidth="1"/>
    <col min="3851" max="3851" width="8.28515625" style="7" customWidth="1"/>
    <col min="3852" max="3852" width="10.5703125" style="7" customWidth="1"/>
    <col min="3853" max="3853" width="10.42578125" style="7" customWidth="1"/>
    <col min="3854" max="3854" width="0.42578125" style="7" customWidth="1"/>
    <col min="3855" max="3855" width="9" style="7" customWidth="1"/>
    <col min="3856" max="3856" width="6.85546875" style="7" customWidth="1"/>
    <col min="3857" max="3858" width="8" style="7" customWidth="1"/>
    <col min="3859" max="3859" width="10.85546875" style="7" customWidth="1"/>
    <col min="3860" max="3860" width="9.85546875" style="7" bestFit="1" customWidth="1"/>
    <col min="3861" max="4096" width="11.28515625" style="7"/>
    <col min="4097" max="4097" width="3.5703125" style="7" customWidth="1"/>
    <col min="4098" max="4098" width="7.42578125" style="7" customWidth="1"/>
    <col min="4099" max="4099" width="27.140625" style="7" customWidth="1"/>
    <col min="4100" max="4100" width="22.42578125" style="7" customWidth="1"/>
    <col min="4101" max="4101" width="7.5703125" style="7" customWidth="1"/>
    <col min="4102" max="4102" width="8.5703125" style="7" bestFit="1" customWidth="1"/>
    <col min="4103" max="4103" width="6.140625" style="7" customWidth="1"/>
    <col min="4104" max="4104" width="7.5703125" style="7" customWidth="1"/>
    <col min="4105" max="4105" width="8.7109375" style="7" customWidth="1"/>
    <col min="4106" max="4106" width="7.28515625" style="7" customWidth="1"/>
    <col min="4107" max="4107" width="8.28515625" style="7" customWidth="1"/>
    <col min="4108" max="4108" width="10.5703125" style="7" customWidth="1"/>
    <col min="4109" max="4109" width="10.42578125" style="7" customWidth="1"/>
    <col min="4110" max="4110" width="0.42578125" style="7" customWidth="1"/>
    <col min="4111" max="4111" width="9" style="7" customWidth="1"/>
    <col min="4112" max="4112" width="6.85546875" style="7" customWidth="1"/>
    <col min="4113" max="4114" width="8" style="7" customWidth="1"/>
    <col min="4115" max="4115" width="10.85546875" style="7" customWidth="1"/>
    <col min="4116" max="4116" width="9.85546875" style="7" bestFit="1" customWidth="1"/>
    <col min="4117" max="4352" width="11.28515625" style="7"/>
    <col min="4353" max="4353" width="3.5703125" style="7" customWidth="1"/>
    <col min="4354" max="4354" width="7.42578125" style="7" customWidth="1"/>
    <col min="4355" max="4355" width="27.140625" style="7" customWidth="1"/>
    <col min="4356" max="4356" width="22.42578125" style="7" customWidth="1"/>
    <col min="4357" max="4357" width="7.5703125" style="7" customWidth="1"/>
    <col min="4358" max="4358" width="8.5703125" style="7" bestFit="1" customWidth="1"/>
    <col min="4359" max="4359" width="6.140625" style="7" customWidth="1"/>
    <col min="4360" max="4360" width="7.5703125" style="7" customWidth="1"/>
    <col min="4361" max="4361" width="8.7109375" style="7" customWidth="1"/>
    <col min="4362" max="4362" width="7.28515625" style="7" customWidth="1"/>
    <col min="4363" max="4363" width="8.28515625" style="7" customWidth="1"/>
    <col min="4364" max="4364" width="10.5703125" style="7" customWidth="1"/>
    <col min="4365" max="4365" width="10.42578125" style="7" customWidth="1"/>
    <col min="4366" max="4366" width="0.42578125" style="7" customWidth="1"/>
    <col min="4367" max="4367" width="9" style="7" customWidth="1"/>
    <col min="4368" max="4368" width="6.85546875" style="7" customWidth="1"/>
    <col min="4369" max="4370" width="8" style="7" customWidth="1"/>
    <col min="4371" max="4371" width="10.85546875" style="7" customWidth="1"/>
    <col min="4372" max="4372" width="9.85546875" style="7" bestFit="1" customWidth="1"/>
    <col min="4373" max="4608" width="11.28515625" style="7"/>
    <col min="4609" max="4609" width="3.5703125" style="7" customWidth="1"/>
    <col min="4610" max="4610" width="7.42578125" style="7" customWidth="1"/>
    <col min="4611" max="4611" width="27.140625" style="7" customWidth="1"/>
    <col min="4612" max="4612" width="22.42578125" style="7" customWidth="1"/>
    <col min="4613" max="4613" width="7.5703125" style="7" customWidth="1"/>
    <col min="4614" max="4614" width="8.5703125" style="7" bestFit="1" customWidth="1"/>
    <col min="4615" max="4615" width="6.140625" style="7" customWidth="1"/>
    <col min="4616" max="4616" width="7.5703125" style="7" customWidth="1"/>
    <col min="4617" max="4617" width="8.7109375" style="7" customWidth="1"/>
    <col min="4618" max="4618" width="7.28515625" style="7" customWidth="1"/>
    <col min="4619" max="4619" width="8.28515625" style="7" customWidth="1"/>
    <col min="4620" max="4620" width="10.5703125" style="7" customWidth="1"/>
    <col min="4621" max="4621" width="10.42578125" style="7" customWidth="1"/>
    <col min="4622" max="4622" width="0.42578125" style="7" customWidth="1"/>
    <col min="4623" max="4623" width="9" style="7" customWidth="1"/>
    <col min="4624" max="4624" width="6.85546875" style="7" customWidth="1"/>
    <col min="4625" max="4626" width="8" style="7" customWidth="1"/>
    <col min="4627" max="4627" width="10.85546875" style="7" customWidth="1"/>
    <col min="4628" max="4628" width="9.85546875" style="7" bestFit="1" customWidth="1"/>
    <col min="4629" max="4864" width="11.28515625" style="7"/>
    <col min="4865" max="4865" width="3.5703125" style="7" customWidth="1"/>
    <col min="4866" max="4866" width="7.42578125" style="7" customWidth="1"/>
    <col min="4867" max="4867" width="27.140625" style="7" customWidth="1"/>
    <col min="4868" max="4868" width="22.42578125" style="7" customWidth="1"/>
    <col min="4869" max="4869" width="7.5703125" style="7" customWidth="1"/>
    <col min="4870" max="4870" width="8.5703125" style="7" bestFit="1" customWidth="1"/>
    <col min="4871" max="4871" width="6.140625" style="7" customWidth="1"/>
    <col min="4872" max="4872" width="7.5703125" style="7" customWidth="1"/>
    <col min="4873" max="4873" width="8.7109375" style="7" customWidth="1"/>
    <col min="4874" max="4874" width="7.28515625" style="7" customWidth="1"/>
    <col min="4875" max="4875" width="8.28515625" style="7" customWidth="1"/>
    <col min="4876" max="4876" width="10.5703125" style="7" customWidth="1"/>
    <col min="4877" max="4877" width="10.42578125" style="7" customWidth="1"/>
    <col min="4878" max="4878" width="0.42578125" style="7" customWidth="1"/>
    <col min="4879" max="4879" width="9" style="7" customWidth="1"/>
    <col min="4880" max="4880" width="6.85546875" style="7" customWidth="1"/>
    <col min="4881" max="4882" width="8" style="7" customWidth="1"/>
    <col min="4883" max="4883" width="10.85546875" style="7" customWidth="1"/>
    <col min="4884" max="4884" width="9.85546875" style="7" bestFit="1" customWidth="1"/>
    <col min="4885" max="5120" width="11.28515625" style="7"/>
    <col min="5121" max="5121" width="3.5703125" style="7" customWidth="1"/>
    <col min="5122" max="5122" width="7.42578125" style="7" customWidth="1"/>
    <col min="5123" max="5123" width="27.140625" style="7" customWidth="1"/>
    <col min="5124" max="5124" width="22.42578125" style="7" customWidth="1"/>
    <col min="5125" max="5125" width="7.5703125" style="7" customWidth="1"/>
    <col min="5126" max="5126" width="8.5703125" style="7" bestFit="1" customWidth="1"/>
    <col min="5127" max="5127" width="6.140625" style="7" customWidth="1"/>
    <col min="5128" max="5128" width="7.5703125" style="7" customWidth="1"/>
    <col min="5129" max="5129" width="8.7109375" style="7" customWidth="1"/>
    <col min="5130" max="5130" width="7.28515625" style="7" customWidth="1"/>
    <col min="5131" max="5131" width="8.28515625" style="7" customWidth="1"/>
    <col min="5132" max="5132" width="10.5703125" style="7" customWidth="1"/>
    <col min="5133" max="5133" width="10.42578125" style="7" customWidth="1"/>
    <col min="5134" max="5134" width="0.42578125" style="7" customWidth="1"/>
    <col min="5135" max="5135" width="9" style="7" customWidth="1"/>
    <col min="5136" max="5136" width="6.85546875" style="7" customWidth="1"/>
    <col min="5137" max="5138" width="8" style="7" customWidth="1"/>
    <col min="5139" max="5139" width="10.85546875" style="7" customWidth="1"/>
    <col min="5140" max="5140" width="9.85546875" style="7" bestFit="1" customWidth="1"/>
    <col min="5141" max="5376" width="11.28515625" style="7"/>
    <col min="5377" max="5377" width="3.5703125" style="7" customWidth="1"/>
    <col min="5378" max="5378" width="7.42578125" style="7" customWidth="1"/>
    <col min="5379" max="5379" width="27.140625" style="7" customWidth="1"/>
    <col min="5380" max="5380" width="22.42578125" style="7" customWidth="1"/>
    <col min="5381" max="5381" width="7.5703125" style="7" customWidth="1"/>
    <col min="5382" max="5382" width="8.5703125" style="7" bestFit="1" customWidth="1"/>
    <col min="5383" max="5383" width="6.140625" style="7" customWidth="1"/>
    <col min="5384" max="5384" width="7.5703125" style="7" customWidth="1"/>
    <col min="5385" max="5385" width="8.7109375" style="7" customWidth="1"/>
    <col min="5386" max="5386" width="7.28515625" style="7" customWidth="1"/>
    <col min="5387" max="5387" width="8.28515625" style="7" customWidth="1"/>
    <col min="5388" max="5388" width="10.5703125" style="7" customWidth="1"/>
    <col min="5389" max="5389" width="10.42578125" style="7" customWidth="1"/>
    <col min="5390" max="5390" width="0.42578125" style="7" customWidth="1"/>
    <col min="5391" max="5391" width="9" style="7" customWidth="1"/>
    <col min="5392" max="5392" width="6.85546875" style="7" customWidth="1"/>
    <col min="5393" max="5394" width="8" style="7" customWidth="1"/>
    <col min="5395" max="5395" width="10.85546875" style="7" customWidth="1"/>
    <col min="5396" max="5396" width="9.85546875" style="7" bestFit="1" customWidth="1"/>
    <col min="5397" max="5632" width="11.28515625" style="7"/>
    <col min="5633" max="5633" width="3.5703125" style="7" customWidth="1"/>
    <col min="5634" max="5634" width="7.42578125" style="7" customWidth="1"/>
    <col min="5635" max="5635" width="27.140625" style="7" customWidth="1"/>
    <col min="5636" max="5636" width="22.42578125" style="7" customWidth="1"/>
    <col min="5637" max="5637" width="7.5703125" style="7" customWidth="1"/>
    <col min="5638" max="5638" width="8.5703125" style="7" bestFit="1" customWidth="1"/>
    <col min="5639" max="5639" width="6.140625" style="7" customWidth="1"/>
    <col min="5640" max="5640" width="7.5703125" style="7" customWidth="1"/>
    <col min="5641" max="5641" width="8.7109375" style="7" customWidth="1"/>
    <col min="5642" max="5642" width="7.28515625" style="7" customWidth="1"/>
    <col min="5643" max="5643" width="8.28515625" style="7" customWidth="1"/>
    <col min="5644" max="5644" width="10.5703125" style="7" customWidth="1"/>
    <col min="5645" max="5645" width="10.42578125" style="7" customWidth="1"/>
    <col min="5646" max="5646" width="0.42578125" style="7" customWidth="1"/>
    <col min="5647" max="5647" width="9" style="7" customWidth="1"/>
    <col min="5648" max="5648" width="6.85546875" style="7" customWidth="1"/>
    <col min="5649" max="5650" width="8" style="7" customWidth="1"/>
    <col min="5651" max="5651" width="10.85546875" style="7" customWidth="1"/>
    <col min="5652" max="5652" width="9.85546875" style="7" bestFit="1" customWidth="1"/>
    <col min="5653" max="5888" width="11.28515625" style="7"/>
    <col min="5889" max="5889" width="3.5703125" style="7" customWidth="1"/>
    <col min="5890" max="5890" width="7.42578125" style="7" customWidth="1"/>
    <col min="5891" max="5891" width="27.140625" style="7" customWidth="1"/>
    <col min="5892" max="5892" width="22.42578125" style="7" customWidth="1"/>
    <col min="5893" max="5893" width="7.5703125" style="7" customWidth="1"/>
    <col min="5894" max="5894" width="8.5703125" style="7" bestFit="1" customWidth="1"/>
    <col min="5895" max="5895" width="6.140625" style="7" customWidth="1"/>
    <col min="5896" max="5896" width="7.5703125" style="7" customWidth="1"/>
    <col min="5897" max="5897" width="8.7109375" style="7" customWidth="1"/>
    <col min="5898" max="5898" width="7.28515625" style="7" customWidth="1"/>
    <col min="5899" max="5899" width="8.28515625" style="7" customWidth="1"/>
    <col min="5900" max="5900" width="10.5703125" style="7" customWidth="1"/>
    <col min="5901" max="5901" width="10.42578125" style="7" customWidth="1"/>
    <col min="5902" max="5902" width="0.42578125" style="7" customWidth="1"/>
    <col min="5903" max="5903" width="9" style="7" customWidth="1"/>
    <col min="5904" max="5904" width="6.85546875" style="7" customWidth="1"/>
    <col min="5905" max="5906" width="8" style="7" customWidth="1"/>
    <col min="5907" max="5907" width="10.85546875" style="7" customWidth="1"/>
    <col min="5908" max="5908" width="9.85546875" style="7" bestFit="1" customWidth="1"/>
    <col min="5909" max="6144" width="11.28515625" style="7"/>
    <col min="6145" max="6145" width="3.5703125" style="7" customWidth="1"/>
    <col min="6146" max="6146" width="7.42578125" style="7" customWidth="1"/>
    <col min="6147" max="6147" width="27.140625" style="7" customWidth="1"/>
    <col min="6148" max="6148" width="22.42578125" style="7" customWidth="1"/>
    <col min="6149" max="6149" width="7.5703125" style="7" customWidth="1"/>
    <col min="6150" max="6150" width="8.5703125" style="7" bestFit="1" customWidth="1"/>
    <col min="6151" max="6151" width="6.140625" style="7" customWidth="1"/>
    <col min="6152" max="6152" width="7.5703125" style="7" customWidth="1"/>
    <col min="6153" max="6153" width="8.7109375" style="7" customWidth="1"/>
    <col min="6154" max="6154" width="7.28515625" style="7" customWidth="1"/>
    <col min="6155" max="6155" width="8.28515625" style="7" customWidth="1"/>
    <col min="6156" max="6156" width="10.5703125" style="7" customWidth="1"/>
    <col min="6157" max="6157" width="10.42578125" style="7" customWidth="1"/>
    <col min="6158" max="6158" width="0.42578125" style="7" customWidth="1"/>
    <col min="6159" max="6159" width="9" style="7" customWidth="1"/>
    <col min="6160" max="6160" width="6.85546875" style="7" customWidth="1"/>
    <col min="6161" max="6162" width="8" style="7" customWidth="1"/>
    <col min="6163" max="6163" width="10.85546875" style="7" customWidth="1"/>
    <col min="6164" max="6164" width="9.85546875" style="7" bestFit="1" customWidth="1"/>
    <col min="6165" max="6400" width="11.28515625" style="7"/>
    <col min="6401" max="6401" width="3.5703125" style="7" customWidth="1"/>
    <col min="6402" max="6402" width="7.42578125" style="7" customWidth="1"/>
    <col min="6403" max="6403" width="27.140625" style="7" customWidth="1"/>
    <col min="6404" max="6404" width="22.42578125" style="7" customWidth="1"/>
    <col min="6405" max="6405" width="7.5703125" style="7" customWidth="1"/>
    <col min="6406" max="6406" width="8.5703125" style="7" bestFit="1" customWidth="1"/>
    <col min="6407" max="6407" width="6.140625" style="7" customWidth="1"/>
    <col min="6408" max="6408" width="7.5703125" style="7" customWidth="1"/>
    <col min="6409" max="6409" width="8.7109375" style="7" customWidth="1"/>
    <col min="6410" max="6410" width="7.28515625" style="7" customWidth="1"/>
    <col min="6411" max="6411" width="8.28515625" style="7" customWidth="1"/>
    <col min="6412" max="6412" width="10.5703125" style="7" customWidth="1"/>
    <col min="6413" max="6413" width="10.42578125" style="7" customWidth="1"/>
    <col min="6414" max="6414" width="0.42578125" style="7" customWidth="1"/>
    <col min="6415" max="6415" width="9" style="7" customWidth="1"/>
    <col min="6416" max="6416" width="6.85546875" style="7" customWidth="1"/>
    <col min="6417" max="6418" width="8" style="7" customWidth="1"/>
    <col min="6419" max="6419" width="10.85546875" style="7" customWidth="1"/>
    <col min="6420" max="6420" width="9.85546875" style="7" bestFit="1" customWidth="1"/>
    <col min="6421" max="6656" width="11.28515625" style="7"/>
    <col min="6657" max="6657" width="3.5703125" style="7" customWidth="1"/>
    <col min="6658" max="6658" width="7.42578125" style="7" customWidth="1"/>
    <col min="6659" max="6659" width="27.140625" style="7" customWidth="1"/>
    <col min="6660" max="6660" width="22.42578125" style="7" customWidth="1"/>
    <col min="6661" max="6661" width="7.5703125" style="7" customWidth="1"/>
    <col min="6662" max="6662" width="8.5703125" style="7" bestFit="1" customWidth="1"/>
    <col min="6663" max="6663" width="6.140625" style="7" customWidth="1"/>
    <col min="6664" max="6664" width="7.5703125" style="7" customWidth="1"/>
    <col min="6665" max="6665" width="8.7109375" style="7" customWidth="1"/>
    <col min="6666" max="6666" width="7.28515625" style="7" customWidth="1"/>
    <col min="6667" max="6667" width="8.28515625" style="7" customWidth="1"/>
    <col min="6668" max="6668" width="10.5703125" style="7" customWidth="1"/>
    <col min="6669" max="6669" width="10.42578125" style="7" customWidth="1"/>
    <col min="6670" max="6670" width="0.42578125" style="7" customWidth="1"/>
    <col min="6671" max="6671" width="9" style="7" customWidth="1"/>
    <col min="6672" max="6672" width="6.85546875" style="7" customWidth="1"/>
    <col min="6673" max="6674" width="8" style="7" customWidth="1"/>
    <col min="6675" max="6675" width="10.85546875" style="7" customWidth="1"/>
    <col min="6676" max="6676" width="9.85546875" style="7" bestFit="1" customWidth="1"/>
    <col min="6677" max="6912" width="11.28515625" style="7"/>
    <col min="6913" max="6913" width="3.5703125" style="7" customWidth="1"/>
    <col min="6914" max="6914" width="7.42578125" style="7" customWidth="1"/>
    <col min="6915" max="6915" width="27.140625" style="7" customWidth="1"/>
    <col min="6916" max="6916" width="22.42578125" style="7" customWidth="1"/>
    <col min="6917" max="6917" width="7.5703125" style="7" customWidth="1"/>
    <col min="6918" max="6918" width="8.5703125" style="7" bestFit="1" customWidth="1"/>
    <col min="6919" max="6919" width="6.140625" style="7" customWidth="1"/>
    <col min="6920" max="6920" width="7.5703125" style="7" customWidth="1"/>
    <col min="6921" max="6921" width="8.7109375" style="7" customWidth="1"/>
    <col min="6922" max="6922" width="7.28515625" style="7" customWidth="1"/>
    <col min="6923" max="6923" width="8.28515625" style="7" customWidth="1"/>
    <col min="6924" max="6924" width="10.5703125" style="7" customWidth="1"/>
    <col min="6925" max="6925" width="10.42578125" style="7" customWidth="1"/>
    <col min="6926" max="6926" width="0.42578125" style="7" customWidth="1"/>
    <col min="6927" max="6927" width="9" style="7" customWidth="1"/>
    <col min="6928" max="6928" width="6.85546875" style="7" customWidth="1"/>
    <col min="6929" max="6930" width="8" style="7" customWidth="1"/>
    <col min="6931" max="6931" width="10.85546875" style="7" customWidth="1"/>
    <col min="6932" max="6932" width="9.85546875" style="7" bestFit="1" customWidth="1"/>
    <col min="6933" max="7168" width="11.28515625" style="7"/>
    <col min="7169" max="7169" width="3.5703125" style="7" customWidth="1"/>
    <col min="7170" max="7170" width="7.42578125" style="7" customWidth="1"/>
    <col min="7171" max="7171" width="27.140625" style="7" customWidth="1"/>
    <col min="7172" max="7172" width="22.42578125" style="7" customWidth="1"/>
    <col min="7173" max="7173" width="7.5703125" style="7" customWidth="1"/>
    <col min="7174" max="7174" width="8.5703125" style="7" bestFit="1" customWidth="1"/>
    <col min="7175" max="7175" width="6.140625" style="7" customWidth="1"/>
    <col min="7176" max="7176" width="7.5703125" style="7" customWidth="1"/>
    <col min="7177" max="7177" width="8.7109375" style="7" customWidth="1"/>
    <col min="7178" max="7178" width="7.28515625" style="7" customWidth="1"/>
    <col min="7179" max="7179" width="8.28515625" style="7" customWidth="1"/>
    <col min="7180" max="7180" width="10.5703125" style="7" customWidth="1"/>
    <col min="7181" max="7181" width="10.42578125" style="7" customWidth="1"/>
    <col min="7182" max="7182" width="0.42578125" style="7" customWidth="1"/>
    <col min="7183" max="7183" width="9" style="7" customWidth="1"/>
    <col min="7184" max="7184" width="6.85546875" style="7" customWidth="1"/>
    <col min="7185" max="7186" width="8" style="7" customWidth="1"/>
    <col min="7187" max="7187" width="10.85546875" style="7" customWidth="1"/>
    <col min="7188" max="7188" width="9.85546875" style="7" bestFit="1" customWidth="1"/>
    <col min="7189" max="7424" width="11.28515625" style="7"/>
    <col min="7425" max="7425" width="3.5703125" style="7" customWidth="1"/>
    <col min="7426" max="7426" width="7.42578125" style="7" customWidth="1"/>
    <col min="7427" max="7427" width="27.140625" style="7" customWidth="1"/>
    <col min="7428" max="7428" width="22.42578125" style="7" customWidth="1"/>
    <col min="7429" max="7429" width="7.5703125" style="7" customWidth="1"/>
    <col min="7430" max="7430" width="8.5703125" style="7" bestFit="1" customWidth="1"/>
    <col min="7431" max="7431" width="6.140625" style="7" customWidth="1"/>
    <col min="7432" max="7432" width="7.5703125" style="7" customWidth="1"/>
    <col min="7433" max="7433" width="8.7109375" style="7" customWidth="1"/>
    <col min="7434" max="7434" width="7.28515625" style="7" customWidth="1"/>
    <col min="7435" max="7435" width="8.28515625" style="7" customWidth="1"/>
    <col min="7436" max="7436" width="10.5703125" style="7" customWidth="1"/>
    <col min="7437" max="7437" width="10.42578125" style="7" customWidth="1"/>
    <col min="7438" max="7438" width="0.42578125" style="7" customWidth="1"/>
    <col min="7439" max="7439" width="9" style="7" customWidth="1"/>
    <col min="7440" max="7440" width="6.85546875" style="7" customWidth="1"/>
    <col min="7441" max="7442" width="8" style="7" customWidth="1"/>
    <col min="7443" max="7443" width="10.85546875" style="7" customWidth="1"/>
    <col min="7444" max="7444" width="9.85546875" style="7" bestFit="1" customWidth="1"/>
    <col min="7445" max="7680" width="11.28515625" style="7"/>
    <col min="7681" max="7681" width="3.5703125" style="7" customWidth="1"/>
    <col min="7682" max="7682" width="7.42578125" style="7" customWidth="1"/>
    <col min="7683" max="7683" width="27.140625" style="7" customWidth="1"/>
    <col min="7684" max="7684" width="22.42578125" style="7" customWidth="1"/>
    <col min="7685" max="7685" width="7.5703125" style="7" customWidth="1"/>
    <col min="7686" max="7686" width="8.5703125" style="7" bestFit="1" customWidth="1"/>
    <col min="7687" max="7687" width="6.140625" style="7" customWidth="1"/>
    <col min="7688" max="7688" width="7.5703125" style="7" customWidth="1"/>
    <col min="7689" max="7689" width="8.7109375" style="7" customWidth="1"/>
    <col min="7690" max="7690" width="7.28515625" style="7" customWidth="1"/>
    <col min="7691" max="7691" width="8.28515625" style="7" customWidth="1"/>
    <col min="7692" max="7692" width="10.5703125" style="7" customWidth="1"/>
    <col min="7693" max="7693" width="10.42578125" style="7" customWidth="1"/>
    <col min="7694" max="7694" width="0.42578125" style="7" customWidth="1"/>
    <col min="7695" max="7695" width="9" style="7" customWidth="1"/>
    <col min="7696" max="7696" width="6.85546875" style="7" customWidth="1"/>
    <col min="7697" max="7698" width="8" style="7" customWidth="1"/>
    <col min="7699" max="7699" width="10.85546875" style="7" customWidth="1"/>
    <col min="7700" max="7700" width="9.85546875" style="7" bestFit="1" customWidth="1"/>
    <col min="7701" max="7936" width="11.28515625" style="7"/>
    <col min="7937" max="7937" width="3.5703125" style="7" customWidth="1"/>
    <col min="7938" max="7938" width="7.42578125" style="7" customWidth="1"/>
    <col min="7939" max="7939" width="27.140625" style="7" customWidth="1"/>
    <col min="7940" max="7940" width="22.42578125" style="7" customWidth="1"/>
    <col min="7941" max="7941" width="7.5703125" style="7" customWidth="1"/>
    <col min="7942" max="7942" width="8.5703125" style="7" bestFit="1" customWidth="1"/>
    <col min="7943" max="7943" width="6.140625" style="7" customWidth="1"/>
    <col min="7944" max="7944" width="7.5703125" style="7" customWidth="1"/>
    <col min="7945" max="7945" width="8.7109375" style="7" customWidth="1"/>
    <col min="7946" max="7946" width="7.28515625" style="7" customWidth="1"/>
    <col min="7947" max="7947" width="8.28515625" style="7" customWidth="1"/>
    <col min="7948" max="7948" width="10.5703125" style="7" customWidth="1"/>
    <col min="7949" max="7949" width="10.42578125" style="7" customWidth="1"/>
    <col min="7950" max="7950" width="0.42578125" style="7" customWidth="1"/>
    <col min="7951" max="7951" width="9" style="7" customWidth="1"/>
    <col min="7952" max="7952" width="6.85546875" style="7" customWidth="1"/>
    <col min="7953" max="7954" width="8" style="7" customWidth="1"/>
    <col min="7955" max="7955" width="10.85546875" style="7" customWidth="1"/>
    <col min="7956" max="7956" width="9.85546875" style="7" bestFit="1" customWidth="1"/>
    <col min="7957" max="8192" width="11.28515625" style="7"/>
    <col min="8193" max="8193" width="3.5703125" style="7" customWidth="1"/>
    <col min="8194" max="8194" width="7.42578125" style="7" customWidth="1"/>
    <col min="8195" max="8195" width="27.140625" style="7" customWidth="1"/>
    <col min="8196" max="8196" width="22.42578125" style="7" customWidth="1"/>
    <col min="8197" max="8197" width="7.5703125" style="7" customWidth="1"/>
    <col min="8198" max="8198" width="8.5703125" style="7" bestFit="1" customWidth="1"/>
    <col min="8199" max="8199" width="6.140625" style="7" customWidth="1"/>
    <col min="8200" max="8200" width="7.5703125" style="7" customWidth="1"/>
    <col min="8201" max="8201" width="8.7109375" style="7" customWidth="1"/>
    <col min="8202" max="8202" width="7.28515625" style="7" customWidth="1"/>
    <col min="8203" max="8203" width="8.28515625" style="7" customWidth="1"/>
    <col min="8204" max="8204" width="10.5703125" style="7" customWidth="1"/>
    <col min="8205" max="8205" width="10.42578125" style="7" customWidth="1"/>
    <col min="8206" max="8206" width="0.42578125" style="7" customWidth="1"/>
    <col min="8207" max="8207" width="9" style="7" customWidth="1"/>
    <col min="8208" max="8208" width="6.85546875" style="7" customWidth="1"/>
    <col min="8209" max="8210" width="8" style="7" customWidth="1"/>
    <col min="8211" max="8211" width="10.85546875" style="7" customWidth="1"/>
    <col min="8212" max="8212" width="9.85546875" style="7" bestFit="1" customWidth="1"/>
    <col min="8213" max="8448" width="11.28515625" style="7"/>
    <col min="8449" max="8449" width="3.5703125" style="7" customWidth="1"/>
    <col min="8450" max="8450" width="7.42578125" style="7" customWidth="1"/>
    <col min="8451" max="8451" width="27.140625" style="7" customWidth="1"/>
    <col min="8452" max="8452" width="22.42578125" style="7" customWidth="1"/>
    <col min="8453" max="8453" width="7.5703125" style="7" customWidth="1"/>
    <col min="8454" max="8454" width="8.5703125" style="7" bestFit="1" customWidth="1"/>
    <col min="8455" max="8455" width="6.140625" style="7" customWidth="1"/>
    <col min="8456" max="8456" width="7.5703125" style="7" customWidth="1"/>
    <col min="8457" max="8457" width="8.7109375" style="7" customWidth="1"/>
    <col min="8458" max="8458" width="7.28515625" style="7" customWidth="1"/>
    <col min="8459" max="8459" width="8.28515625" style="7" customWidth="1"/>
    <col min="8460" max="8460" width="10.5703125" style="7" customWidth="1"/>
    <col min="8461" max="8461" width="10.42578125" style="7" customWidth="1"/>
    <col min="8462" max="8462" width="0.42578125" style="7" customWidth="1"/>
    <col min="8463" max="8463" width="9" style="7" customWidth="1"/>
    <col min="8464" max="8464" width="6.85546875" style="7" customWidth="1"/>
    <col min="8465" max="8466" width="8" style="7" customWidth="1"/>
    <col min="8467" max="8467" width="10.85546875" style="7" customWidth="1"/>
    <col min="8468" max="8468" width="9.85546875" style="7" bestFit="1" customWidth="1"/>
    <col min="8469" max="8704" width="11.28515625" style="7"/>
    <col min="8705" max="8705" width="3.5703125" style="7" customWidth="1"/>
    <col min="8706" max="8706" width="7.42578125" style="7" customWidth="1"/>
    <col min="8707" max="8707" width="27.140625" style="7" customWidth="1"/>
    <col min="8708" max="8708" width="22.42578125" style="7" customWidth="1"/>
    <col min="8709" max="8709" width="7.5703125" style="7" customWidth="1"/>
    <col min="8710" max="8710" width="8.5703125" style="7" bestFit="1" customWidth="1"/>
    <col min="8711" max="8711" width="6.140625" style="7" customWidth="1"/>
    <col min="8712" max="8712" width="7.5703125" style="7" customWidth="1"/>
    <col min="8713" max="8713" width="8.7109375" style="7" customWidth="1"/>
    <col min="8714" max="8714" width="7.28515625" style="7" customWidth="1"/>
    <col min="8715" max="8715" width="8.28515625" style="7" customWidth="1"/>
    <col min="8716" max="8716" width="10.5703125" style="7" customWidth="1"/>
    <col min="8717" max="8717" width="10.42578125" style="7" customWidth="1"/>
    <col min="8718" max="8718" width="0.42578125" style="7" customWidth="1"/>
    <col min="8719" max="8719" width="9" style="7" customWidth="1"/>
    <col min="8720" max="8720" width="6.85546875" style="7" customWidth="1"/>
    <col min="8721" max="8722" width="8" style="7" customWidth="1"/>
    <col min="8723" max="8723" width="10.85546875" style="7" customWidth="1"/>
    <col min="8724" max="8724" width="9.85546875" style="7" bestFit="1" customWidth="1"/>
    <col min="8725" max="8960" width="11.28515625" style="7"/>
    <col min="8961" max="8961" width="3.5703125" style="7" customWidth="1"/>
    <col min="8962" max="8962" width="7.42578125" style="7" customWidth="1"/>
    <col min="8963" max="8963" width="27.140625" style="7" customWidth="1"/>
    <col min="8964" max="8964" width="22.42578125" style="7" customWidth="1"/>
    <col min="8965" max="8965" width="7.5703125" style="7" customWidth="1"/>
    <col min="8966" max="8966" width="8.5703125" style="7" bestFit="1" customWidth="1"/>
    <col min="8967" max="8967" width="6.140625" style="7" customWidth="1"/>
    <col min="8968" max="8968" width="7.5703125" style="7" customWidth="1"/>
    <col min="8969" max="8969" width="8.7109375" style="7" customWidth="1"/>
    <col min="8970" max="8970" width="7.28515625" style="7" customWidth="1"/>
    <col min="8971" max="8971" width="8.28515625" style="7" customWidth="1"/>
    <col min="8972" max="8972" width="10.5703125" style="7" customWidth="1"/>
    <col min="8973" max="8973" width="10.42578125" style="7" customWidth="1"/>
    <col min="8974" max="8974" width="0.42578125" style="7" customWidth="1"/>
    <col min="8975" max="8975" width="9" style="7" customWidth="1"/>
    <col min="8976" max="8976" width="6.85546875" style="7" customWidth="1"/>
    <col min="8977" max="8978" width="8" style="7" customWidth="1"/>
    <col min="8979" max="8979" width="10.85546875" style="7" customWidth="1"/>
    <col min="8980" max="8980" width="9.85546875" style="7" bestFit="1" customWidth="1"/>
    <col min="8981" max="9216" width="11.28515625" style="7"/>
    <col min="9217" max="9217" width="3.5703125" style="7" customWidth="1"/>
    <col min="9218" max="9218" width="7.42578125" style="7" customWidth="1"/>
    <col min="9219" max="9219" width="27.140625" style="7" customWidth="1"/>
    <col min="9220" max="9220" width="22.42578125" style="7" customWidth="1"/>
    <col min="9221" max="9221" width="7.5703125" style="7" customWidth="1"/>
    <col min="9222" max="9222" width="8.5703125" style="7" bestFit="1" customWidth="1"/>
    <col min="9223" max="9223" width="6.140625" style="7" customWidth="1"/>
    <col min="9224" max="9224" width="7.5703125" style="7" customWidth="1"/>
    <col min="9225" max="9225" width="8.7109375" style="7" customWidth="1"/>
    <col min="9226" max="9226" width="7.28515625" style="7" customWidth="1"/>
    <col min="9227" max="9227" width="8.28515625" style="7" customWidth="1"/>
    <col min="9228" max="9228" width="10.5703125" style="7" customWidth="1"/>
    <col min="9229" max="9229" width="10.42578125" style="7" customWidth="1"/>
    <col min="9230" max="9230" width="0.42578125" style="7" customWidth="1"/>
    <col min="9231" max="9231" width="9" style="7" customWidth="1"/>
    <col min="9232" max="9232" width="6.85546875" style="7" customWidth="1"/>
    <col min="9233" max="9234" width="8" style="7" customWidth="1"/>
    <col min="9235" max="9235" width="10.85546875" style="7" customWidth="1"/>
    <col min="9236" max="9236" width="9.85546875" style="7" bestFit="1" customWidth="1"/>
    <col min="9237" max="9472" width="11.28515625" style="7"/>
    <col min="9473" max="9473" width="3.5703125" style="7" customWidth="1"/>
    <col min="9474" max="9474" width="7.42578125" style="7" customWidth="1"/>
    <col min="9475" max="9475" width="27.140625" style="7" customWidth="1"/>
    <col min="9476" max="9476" width="22.42578125" style="7" customWidth="1"/>
    <col min="9477" max="9477" width="7.5703125" style="7" customWidth="1"/>
    <col min="9478" max="9478" width="8.5703125" style="7" bestFit="1" customWidth="1"/>
    <col min="9479" max="9479" width="6.140625" style="7" customWidth="1"/>
    <col min="9480" max="9480" width="7.5703125" style="7" customWidth="1"/>
    <col min="9481" max="9481" width="8.7109375" style="7" customWidth="1"/>
    <col min="9482" max="9482" width="7.28515625" style="7" customWidth="1"/>
    <col min="9483" max="9483" width="8.28515625" style="7" customWidth="1"/>
    <col min="9484" max="9484" width="10.5703125" style="7" customWidth="1"/>
    <col min="9485" max="9485" width="10.42578125" style="7" customWidth="1"/>
    <col min="9486" max="9486" width="0.42578125" style="7" customWidth="1"/>
    <col min="9487" max="9487" width="9" style="7" customWidth="1"/>
    <col min="9488" max="9488" width="6.85546875" style="7" customWidth="1"/>
    <col min="9489" max="9490" width="8" style="7" customWidth="1"/>
    <col min="9491" max="9491" width="10.85546875" style="7" customWidth="1"/>
    <col min="9492" max="9492" width="9.85546875" style="7" bestFit="1" customWidth="1"/>
    <col min="9493" max="9728" width="11.28515625" style="7"/>
    <col min="9729" max="9729" width="3.5703125" style="7" customWidth="1"/>
    <col min="9730" max="9730" width="7.42578125" style="7" customWidth="1"/>
    <col min="9731" max="9731" width="27.140625" style="7" customWidth="1"/>
    <col min="9732" max="9732" width="22.42578125" style="7" customWidth="1"/>
    <col min="9733" max="9733" width="7.5703125" style="7" customWidth="1"/>
    <col min="9734" max="9734" width="8.5703125" style="7" bestFit="1" customWidth="1"/>
    <col min="9735" max="9735" width="6.140625" style="7" customWidth="1"/>
    <col min="9736" max="9736" width="7.5703125" style="7" customWidth="1"/>
    <col min="9737" max="9737" width="8.7109375" style="7" customWidth="1"/>
    <col min="9738" max="9738" width="7.28515625" style="7" customWidth="1"/>
    <col min="9739" max="9739" width="8.28515625" style="7" customWidth="1"/>
    <col min="9740" max="9740" width="10.5703125" style="7" customWidth="1"/>
    <col min="9741" max="9741" width="10.42578125" style="7" customWidth="1"/>
    <col min="9742" max="9742" width="0.42578125" style="7" customWidth="1"/>
    <col min="9743" max="9743" width="9" style="7" customWidth="1"/>
    <col min="9744" max="9744" width="6.85546875" style="7" customWidth="1"/>
    <col min="9745" max="9746" width="8" style="7" customWidth="1"/>
    <col min="9747" max="9747" width="10.85546875" style="7" customWidth="1"/>
    <col min="9748" max="9748" width="9.85546875" style="7" bestFit="1" customWidth="1"/>
    <col min="9749" max="9984" width="11.28515625" style="7"/>
    <col min="9985" max="9985" width="3.5703125" style="7" customWidth="1"/>
    <col min="9986" max="9986" width="7.42578125" style="7" customWidth="1"/>
    <col min="9987" max="9987" width="27.140625" style="7" customWidth="1"/>
    <col min="9988" max="9988" width="22.42578125" style="7" customWidth="1"/>
    <col min="9989" max="9989" width="7.5703125" style="7" customWidth="1"/>
    <col min="9990" max="9990" width="8.5703125" style="7" bestFit="1" customWidth="1"/>
    <col min="9991" max="9991" width="6.140625" style="7" customWidth="1"/>
    <col min="9992" max="9992" width="7.5703125" style="7" customWidth="1"/>
    <col min="9993" max="9993" width="8.7109375" style="7" customWidth="1"/>
    <col min="9994" max="9994" width="7.28515625" style="7" customWidth="1"/>
    <col min="9995" max="9995" width="8.28515625" style="7" customWidth="1"/>
    <col min="9996" max="9996" width="10.5703125" style="7" customWidth="1"/>
    <col min="9997" max="9997" width="10.42578125" style="7" customWidth="1"/>
    <col min="9998" max="9998" width="0.42578125" style="7" customWidth="1"/>
    <col min="9999" max="9999" width="9" style="7" customWidth="1"/>
    <col min="10000" max="10000" width="6.85546875" style="7" customWidth="1"/>
    <col min="10001" max="10002" width="8" style="7" customWidth="1"/>
    <col min="10003" max="10003" width="10.85546875" style="7" customWidth="1"/>
    <col min="10004" max="10004" width="9.85546875" style="7" bestFit="1" customWidth="1"/>
    <col min="10005" max="10240" width="11.28515625" style="7"/>
    <col min="10241" max="10241" width="3.5703125" style="7" customWidth="1"/>
    <col min="10242" max="10242" width="7.42578125" style="7" customWidth="1"/>
    <col min="10243" max="10243" width="27.140625" style="7" customWidth="1"/>
    <col min="10244" max="10244" width="22.42578125" style="7" customWidth="1"/>
    <col min="10245" max="10245" width="7.5703125" style="7" customWidth="1"/>
    <col min="10246" max="10246" width="8.5703125" style="7" bestFit="1" customWidth="1"/>
    <col min="10247" max="10247" width="6.140625" style="7" customWidth="1"/>
    <col min="10248" max="10248" width="7.5703125" style="7" customWidth="1"/>
    <col min="10249" max="10249" width="8.7109375" style="7" customWidth="1"/>
    <col min="10250" max="10250" width="7.28515625" style="7" customWidth="1"/>
    <col min="10251" max="10251" width="8.28515625" style="7" customWidth="1"/>
    <col min="10252" max="10252" width="10.5703125" style="7" customWidth="1"/>
    <col min="10253" max="10253" width="10.42578125" style="7" customWidth="1"/>
    <col min="10254" max="10254" width="0.42578125" style="7" customWidth="1"/>
    <col min="10255" max="10255" width="9" style="7" customWidth="1"/>
    <col min="10256" max="10256" width="6.85546875" style="7" customWidth="1"/>
    <col min="10257" max="10258" width="8" style="7" customWidth="1"/>
    <col min="10259" max="10259" width="10.85546875" style="7" customWidth="1"/>
    <col min="10260" max="10260" width="9.85546875" style="7" bestFit="1" customWidth="1"/>
    <col min="10261" max="10496" width="11.28515625" style="7"/>
    <col min="10497" max="10497" width="3.5703125" style="7" customWidth="1"/>
    <col min="10498" max="10498" width="7.42578125" style="7" customWidth="1"/>
    <col min="10499" max="10499" width="27.140625" style="7" customWidth="1"/>
    <col min="10500" max="10500" width="22.42578125" style="7" customWidth="1"/>
    <col min="10501" max="10501" width="7.5703125" style="7" customWidth="1"/>
    <col min="10502" max="10502" width="8.5703125" style="7" bestFit="1" customWidth="1"/>
    <col min="10503" max="10503" width="6.140625" style="7" customWidth="1"/>
    <col min="10504" max="10504" width="7.5703125" style="7" customWidth="1"/>
    <col min="10505" max="10505" width="8.7109375" style="7" customWidth="1"/>
    <col min="10506" max="10506" width="7.28515625" style="7" customWidth="1"/>
    <col min="10507" max="10507" width="8.28515625" style="7" customWidth="1"/>
    <col min="10508" max="10508" width="10.5703125" style="7" customWidth="1"/>
    <col min="10509" max="10509" width="10.42578125" style="7" customWidth="1"/>
    <col min="10510" max="10510" width="0.42578125" style="7" customWidth="1"/>
    <col min="10511" max="10511" width="9" style="7" customWidth="1"/>
    <col min="10512" max="10512" width="6.85546875" style="7" customWidth="1"/>
    <col min="10513" max="10514" width="8" style="7" customWidth="1"/>
    <col min="10515" max="10515" width="10.85546875" style="7" customWidth="1"/>
    <col min="10516" max="10516" width="9.85546875" style="7" bestFit="1" customWidth="1"/>
    <col min="10517" max="10752" width="11.28515625" style="7"/>
    <col min="10753" max="10753" width="3.5703125" style="7" customWidth="1"/>
    <col min="10754" max="10754" width="7.42578125" style="7" customWidth="1"/>
    <col min="10755" max="10755" width="27.140625" style="7" customWidth="1"/>
    <col min="10756" max="10756" width="22.42578125" style="7" customWidth="1"/>
    <col min="10757" max="10757" width="7.5703125" style="7" customWidth="1"/>
    <col min="10758" max="10758" width="8.5703125" style="7" bestFit="1" customWidth="1"/>
    <col min="10759" max="10759" width="6.140625" style="7" customWidth="1"/>
    <col min="10760" max="10760" width="7.5703125" style="7" customWidth="1"/>
    <col min="10761" max="10761" width="8.7109375" style="7" customWidth="1"/>
    <col min="10762" max="10762" width="7.28515625" style="7" customWidth="1"/>
    <col min="10763" max="10763" width="8.28515625" style="7" customWidth="1"/>
    <col min="10764" max="10764" width="10.5703125" style="7" customWidth="1"/>
    <col min="10765" max="10765" width="10.42578125" style="7" customWidth="1"/>
    <col min="10766" max="10766" width="0.42578125" style="7" customWidth="1"/>
    <col min="10767" max="10767" width="9" style="7" customWidth="1"/>
    <col min="10768" max="10768" width="6.85546875" style="7" customWidth="1"/>
    <col min="10769" max="10770" width="8" style="7" customWidth="1"/>
    <col min="10771" max="10771" width="10.85546875" style="7" customWidth="1"/>
    <col min="10772" max="10772" width="9.85546875" style="7" bestFit="1" customWidth="1"/>
    <col min="10773" max="11008" width="11.28515625" style="7"/>
    <col min="11009" max="11009" width="3.5703125" style="7" customWidth="1"/>
    <col min="11010" max="11010" width="7.42578125" style="7" customWidth="1"/>
    <col min="11011" max="11011" width="27.140625" style="7" customWidth="1"/>
    <col min="11012" max="11012" width="22.42578125" style="7" customWidth="1"/>
    <col min="11013" max="11013" width="7.5703125" style="7" customWidth="1"/>
    <col min="11014" max="11014" width="8.5703125" style="7" bestFit="1" customWidth="1"/>
    <col min="11015" max="11015" width="6.140625" style="7" customWidth="1"/>
    <col min="11016" max="11016" width="7.5703125" style="7" customWidth="1"/>
    <col min="11017" max="11017" width="8.7109375" style="7" customWidth="1"/>
    <col min="11018" max="11018" width="7.28515625" style="7" customWidth="1"/>
    <col min="11019" max="11019" width="8.28515625" style="7" customWidth="1"/>
    <col min="11020" max="11020" width="10.5703125" style="7" customWidth="1"/>
    <col min="11021" max="11021" width="10.42578125" style="7" customWidth="1"/>
    <col min="11022" max="11022" width="0.42578125" style="7" customWidth="1"/>
    <col min="11023" max="11023" width="9" style="7" customWidth="1"/>
    <col min="11024" max="11024" width="6.85546875" style="7" customWidth="1"/>
    <col min="11025" max="11026" width="8" style="7" customWidth="1"/>
    <col min="11027" max="11027" width="10.85546875" style="7" customWidth="1"/>
    <col min="11028" max="11028" width="9.85546875" style="7" bestFit="1" customWidth="1"/>
    <col min="11029" max="11264" width="11.28515625" style="7"/>
    <col min="11265" max="11265" width="3.5703125" style="7" customWidth="1"/>
    <col min="11266" max="11266" width="7.42578125" style="7" customWidth="1"/>
    <col min="11267" max="11267" width="27.140625" style="7" customWidth="1"/>
    <col min="11268" max="11268" width="22.42578125" style="7" customWidth="1"/>
    <col min="11269" max="11269" width="7.5703125" style="7" customWidth="1"/>
    <col min="11270" max="11270" width="8.5703125" style="7" bestFit="1" customWidth="1"/>
    <col min="11271" max="11271" width="6.140625" style="7" customWidth="1"/>
    <col min="11272" max="11272" width="7.5703125" style="7" customWidth="1"/>
    <col min="11273" max="11273" width="8.7109375" style="7" customWidth="1"/>
    <col min="11274" max="11274" width="7.28515625" style="7" customWidth="1"/>
    <col min="11275" max="11275" width="8.28515625" style="7" customWidth="1"/>
    <col min="11276" max="11276" width="10.5703125" style="7" customWidth="1"/>
    <col min="11277" max="11277" width="10.42578125" style="7" customWidth="1"/>
    <col min="11278" max="11278" width="0.42578125" style="7" customWidth="1"/>
    <col min="11279" max="11279" width="9" style="7" customWidth="1"/>
    <col min="11280" max="11280" width="6.85546875" style="7" customWidth="1"/>
    <col min="11281" max="11282" width="8" style="7" customWidth="1"/>
    <col min="11283" max="11283" width="10.85546875" style="7" customWidth="1"/>
    <col min="11284" max="11284" width="9.85546875" style="7" bestFit="1" customWidth="1"/>
    <col min="11285" max="11520" width="11.28515625" style="7"/>
    <col min="11521" max="11521" width="3.5703125" style="7" customWidth="1"/>
    <col min="11522" max="11522" width="7.42578125" style="7" customWidth="1"/>
    <col min="11523" max="11523" width="27.140625" style="7" customWidth="1"/>
    <col min="11524" max="11524" width="22.42578125" style="7" customWidth="1"/>
    <col min="11525" max="11525" width="7.5703125" style="7" customWidth="1"/>
    <col min="11526" max="11526" width="8.5703125" style="7" bestFit="1" customWidth="1"/>
    <col min="11527" max="11527" width="6.140625" style="7" customWidth="1"/>
    <col min="11528" max="11528" width="7.5703125" style="7" customWidth="1"/>
    <col min="11529" max="11529" width="8.7109375" style="7" customWidth="1"/>
    <col min="11530" max="11530" width="7.28515625" style="7" customWidth="1"/>
    <col min="11531" max="11531" width="8.28515625" style="7" customWidth="1"/>
    <col min="11532" max="11532" width="10.5703125" style="7" customWidth="1"/>
    <col min="11533" max="11533" width="10.42578125" style="7" customWidth="1"/>
    <col min="11534" max="11534" width="0.42578125" style="7" customWidth="1"/>
    <col min="11535" max="11535" width="9" style="7" customWidth="1"/>
    <col min="11536" max="11536" width="6.85546875" style="7" customWidth="1"/>
    <col min="11537" max="11538" width="8" style="7" customWidth="1"/>
    <col min="11539" max="11539" width="10.85546875" style="7" customWidth="1"/>
    <col min="11540" max="11540" width="9.85546875" style="7" bestFit="1" customWidth="1"/>
    <col min="11541" max="11776" width="11.28515625" style="7"/>
    <col min="11777" max="11777" width="3.5703125" style="7" customWidth="1"/>
    <col min="11778" max="11778" width="7.42578125" style="7" customWidth="1"/>
    <col min="11779" max="11779" width="27.140625" style="7" customWidth="1"/>
    <col min="11780" max="11780" width="22.42578125" style="7" customWidth="1"/>
    <col min="11781" max="11781" width="7.5703125" style="7" customWidth="1"/>
    <col min="11782" max="11782" width="8.5703125" style="7" bestFit="1" customWidth="1"/>
    <col min="11783" max="11783" width="6.140625" style="7" customWidth="1"/>
    <col min="11784" max="11784" width="7.5703125" style="7" customWidth="1"/>
    <col min="11785" max="11785" width="8.7109375" style="7" customWidth="1"/>
    <col min="11786" max="11786" width="7.28515625" style="7" customWidth="1"/>
    <col min="11787" max="11787" width="8.28515625" style="7" customWidth="1"/>
    <col min="11788" max="11788" width="10.5703125" style="7" customWidth="1"/>
    <col min="11789" max="11789" width="10.42578125" style="7" customWidth="1"/>
    <col min="11790" max="11790" width="0.42578125" style="7" customWidth="1"/>
    <col min="11791" max="11791" width="9" style="7" customWidth="1"/>
    <col min="11792" max="11792" width="6.85546875" style="7" customWidth="1"/>
    <col min="11793" max="11794" width="8" style="7" customWidth="1"/>
    <col min="11795" max="11795" width="10.85546875" style="7" customWidth="1"/>
    <col min="11796" max="11796" width="9.85546875" style="7" bestFit="1" customWidth="1"/>
    <col min="11797" max="12032" width="11.28515625" style="7"/>
    <col min="12033" max="12033" width="3.5703125" style="7" customWidth="1"/>
    <col min="12034" max="12034" width="7.42578125" style="7" customWidth="1"/>
    <col min="12035" max="12035" width="27.140625" style="7" customWidth="1"/>
    <col min="12036" max="12036" width="22.42578125" style="7" customWidth="1"/>
    <col min="12037" max="12037" width="7.5703125" style="7" customWidth="1"/>
    <col min="12038" max="12038" width="8.5703125" style="7" bestFit="1" customWidth="1"/>
    <col min="12039" max="12039" width="6.140625" style="7" customWidth="1"/>
    <col min="12040" max="12040" width="7.5703125" style="7" customWidth="1"/>
    <col min="12041" max="12041" width="8.7109375" style="7" customWidth="1"/>
    <col min="12042" max="12042" width="7.28515625" style="7" customWidth="1"/>
    <col min="12043" max="12043" width="8.28515625" style="7" customWidth="1"/>
    <col min="12044" max="12044" width="10.5703125" style="7" customWidth="1"/>
    <col min="12045" max="12045" width="10.42578125" style="7" customWidth="1"/>
    <col min="12046" max="12046" width="0.42578125" style="7" customWidth="1"/>
    <col min="12047" max="12047" width="9" style="7" customWidth="1"/>
    <col min="12048" max="12048" width="6.85546875" style="7" customWidth="1"/>
    <col min="12049" max="12050" width="8" style="7" customWidth="1"/>
    <col min="12051" max="12051" width="10.85546875" style="7" customWidth="1"/>
    <col min="12052" max="12052" width="9.85546875" style="7" bestFit="1" customWidth="1"/>
    <col min="12053" max="12288" width="11.28515625" style="7"/>
    <col min="12289" max="12289" width="3.5703125" style="7" customWidth="1"/>
    <col min="12290" max="12290" width="7.42578125" style="7" customWidth="1"/>
    <col min="12291" max="12291" width="27.140625" style="7" customWidth="1"/>
    <col min="12292" max="12292" width="22.42578125" style="7" customWidth="1"/>
    <col min="12293" max="12293" width="7.5703125" style="7" customWidth="1"/>
    <col min="12294" max="12294" width="8.5703125" style="7" bestFit="1" customWidth="1"/>
    <col min="12295" max="12295" width="6.140625" style="7" customWidth="1"/>
    <col min="12296" max="12296" width="7.5703125" style="7" customWidth="1"/>
    <col min="12297" max="12297" width="8.7109375" style="7" customWidth="1"/>
    <col min="12298" max="12298" width="7.28515625" style="7" customWidth="1"/>
    <col min="12299" max="12299" width="8.28515625" style="7" customWidth="1"/>
    <col min="12300" max="12300" width="10.5703125" style="7" customWidth="1"/>
    <col min="12301" max="12301" width="10.42578125" style="7" customWidth="1"/>
    <col min="12302" max="12302" width="0.42578125" style="7" customWidth="1"/>
    <col min="12303" max="12303" width="9" style="7" customWidth="1"/>
    <col min="12304" max="12304" width="6.85546875" style="7" customWidth="1"/>
    <col min="12305" max="12306" width="8" style="7" customWidth="1"/>
    <col min="12307" max="12307" width="10.85546875" style="7" customWidth="1"/>
    <col min="12308" max="12308" width="9.85546875" style="7" bestFit="1" customWidth="1"/>
    <col min="12309" max="12544" width="11.28515625" style="7"/>
    <col min="12545" max="12545" width="3.5703125" style="7" customWidth="1"/>
    <col min="12546" max="12546" width="7.42578125" style="7" customWidth="1"/>
    <col min="12547" max="12547" width="27.140625" style="7" customWidth="1"/>
    <col min="12548" max="12548" width="22.42578125" style="7" customWidth="1"/>
    <col min="12549" max="12549" width="7.5703125" style="7" customWidth="1"/>
    <col min="12550" max="12550" width="8.5703125" style="7" bestFit="1" customWidth="1"/>
    <col min="12551" max="12551" width="6.140625" style="7" customWidth="1"/>
    <col min="12552" max="12552" width="7.5703125" style="7" customWidth="1"/>
    <col min="12553" max="12553" width="8.7109375" style="7" customWidth="1"/>
    <col min="12554" max="12554" width="7.28515625" style="7" customWidth="1"/>
    <col min="12555" max="12555" width="8.28515625" style="7" customWidth="1"/>
    <col min="12556" max="12556" width="10.5703125" style="7" customWidth="1"/>
    <col min="12557" max="12557" width="10.42578125" style="7" customWidth="1"/>
    <col min="12558" max="12558" width="0.42578125" style="7" customWidth="1"/>
    <col min="12559" max="12559" width="9" style="7" customWidth="1"/>
    <col min="12560" max="12560" width="6.85546875" style="7" customWidth="1"/>
    <col min="12561" max="12562" width="8" style="7" customWidth="1"/>
    <col min="12563" max="12563" width="10.85546875" style="7" customWidth="1"/>
    <col min="12564" max="12564" width="9.85546875" style="7" bestFit="1" customWidth="1"/>
    <col min="12565" max="12800" width="11.28515625" style="7"/>
    <col min="12801" max="12801" width="3.5703125" style="7" customWidth="1"/>
    <col min="12802" max="12802" width="7.42578125" style="7" customWidth="1"/>
    <col min="12803" max="12803" width="27.140625" style="7" customWidth="1"/>
    <col min="12804" max="12804" width="22.42578125" style="7" customWidth="1"/>
    <col min="12805" max="12805" width="7.5703125" style="7" customWidth="1"/>
    <col min="12806" max="12806" width="8.5703125" style="7" bestFit="1" customWidth="1"/>
    <col min="12807" max="12807" width="6.140625" style="7" customWidth="1"/>
    <col min="12808" max="12808" width="7.5703125" style="7" customWidth="1"/>
    <col min="12809" max="12809" width="8.7109375" style="7" customWidth="1"/>
    <col min="12810" max="12810" width="7.28515625" style="7" customWidth="1"/>
    <col min="12811" max="12811" width="8.28515625" style="7" customWidth="1"/>
    <col min="12812" max="12812" width="10.5703125" style="7" customWidth="1"/>
    <col min="12813" max="12813" width="10.42578125" style="7" customWidth="1"/>
    <col min="12814" max="12814" width="0.42578125" style="7" customWidth="1"/>
    <col min="12815" max="12815" width="9" style="7" customWidth="1"/>
    <col min="12816" max="12816" width="6.85546875" style="7" customWidth="1"/>
    <col min="12817" max="12818" width="8" style="7" customWidth="1"/>
    <col min="12819" max="12819" width="10.85546875" style="7" customWidth="1"/>
    <col min="12820" max="12820" width="9.85546875" style="7" bestFit="1" customWidth="1"/>
    <col min="12821" max="13056" width="11.28515625" style="7"/>
    <col min="13057" max="13057" width="3.5703125" style="7" customWidth="1"/>
    <col min="13058" max="13058" width="7.42578125" style="7" customWidth="1"/>
    <col min="13059" max="13059" width="27.140625" style="7" customWidth="1"/>
    <col min="13060" max="13060" width="22.42578125" style="7" customWidth="1"/>
    <col min="13061" max="13061" width="7.5703125" style="7" customWidth="1"/>
    <col min="13062" max="13062" width="8.5703125" style="7" bestFit="1" customWidth="1"/>
    <col min="13063" max="13063" width="6.140625" style="7" customWidth="1"/>
    <col min="13064" max="13064" width="7.5703125" style="7" customWidth="1"/>
    <col min="13065" max="13065" width="8.7109375" style="7" customWidth="1"/>
    <col min="13066" max="13066" width="7.28515625" style="7" customWidth="1"/>
    <col min="13067" max="13067" width="8.28515625" style="7" customWidth="1"/>
    <col min="13068" max="13068" width="10.5703125" style="7" customWidth="1"/>
    <col min="13069" max="13069" width="10.42578125" style="7" customWidth="1"/>
    <col min="13070" max="13070" width="0.42578125" style="7" customWidth="1"/>
    <col min="13071" max="13071" width="9" style="7" customWidth="1"/>
    <col min="13072" max="13072" width="6.85546875" style="7" customWidth="1"/>
    <col min="13073" max="13074" width="8" style="7" customWidth="1"/>
    <col min="13075" max="13075" width="10.85546875" style="7" customWidth="1"/>
    <col min="13076" max="13076" width="9.85546875" style="7" bestFit="1" customWidth="1"/>
    <col min="13077" max="13312" width="11.28515625" style="7"/>
    <col min="13313" max="13313" width="3.5703125" style="7" customWidth="1"/>
    <col min="13314" max="13314" width="7.42578125" style="7" customWidth="1"/>
    <col min="13315" max="13315" width="27.140625" style="7" customWidth="1"/>
    <col min="13316" max="13316" width="22.42578125" style="7" customWidth="1"/>
    <col min="13317" max="13317" width="7.5703125" style="7" customWidth="1"/>
    <col min="13318" max="13318" width="8.5703125" style="7" bestFit="1" customWidth="1"/>
    <col min="13319" max="13319" width="6.140625" style="7" customWidth="1"/>
    <col min="13320" max="13320" width="7.5703125" style="7" customWidth="1"/>
    <col min="13321" max="13321" width="8.7109375" style="7" customWidth="1"/>
    <col min="13322" max="13322" width="7.28515625" style="7" customWidth="1"/>
    <col min="13323" max="13323" width="8.28515625" style="7" customWidth="1"/>
    <col min="13324" max="13324" width="10.5703125" style="7" customWidth="1"/>
    <col min="13325" max="13325" width="10.42578125" style="7" customWidth="1"/>
    <col min="13326" max="13326" width="0.42578125" style="7" customWidth="1"/>
    <col min="13327" max="13327" width="9" style="7" customWidth="1"/>
    <col min="13328" max="13328" width="6.85546875" style="7" customWidth="1"/>
    <col min="13329" max="13330" width="8" style="7" customWidth="1"/>
    <col min="13331" max="13331" width="10.85546875" style="7" customWidth="1"/>
    <col min="13332" max="13332" width="9.85546875" style="7" bestFit="1" customWidth="1"/>
    <col min="13333" max="13568" width="11.28515625" style="7"/>
    <col min="13569" max="13569" width="3.5703125" style="7" customWidth="1"/>
    <col min="13570" max="13570" width="7.42578125" style="7" customWidth="1"/>
    <col min="13571" max="13571" width="27.140625" style="7" customWidth="1"/>
    <col min="13572" max="13572" width="22.42578125" style="7" customWidth="1"/>
    <col min="13573" max="13573" width="7.5703125" style="7" customWidth="1"/>
    <col min="13574" max="13574" width="8.5703125" style="7" bestFit="1" customWidth="1"/>
    <col min="13575" max="13575" width="6.140625" style="7" customWidth="1"/>
    <col min="13576" max="13576" width="7.5703125" style="7" customWidth="1"/>
    <col min="13577" max="13577" width="8.7109375" style="7" customWidth="1"/>
    <col min="13578" max="13578" width="7.28515625" style="7" customWidth="1"/>
    <col min="13579" max="13579" width="8.28515625" style="7" customWidth="1"/>
    <col min="13580" max="13580" width="10.5703125" style="7" customWidth="1"/>
    <col min="13581" max="13581" width="10.42578125" style="7" customWidth="1"/>
    <col min="13582" max="13582" width="0.42578125" style="7" customWidth="1"/>
    <col min="13583" max="13583" width="9" style="7" customWidth="1"/>
    <col min="13584" max="13584" width="6.85546875" style="7" customWidth="1"/>
    <col min="13585" max="13586" width="8" style="7" customWidth="1"/>
    <col min="13587" max="13587" width="10.85546875" style="7" customWidth="1"/>
    <col min="13588" max="13588" width="9.85546875" style="7" bestFit="1" customWidth="1"/>
    <col min="13589" max="13824" width="11.28515625" style="7"/>
    <col min="13825" max="13825" width="3.5703125" style="7" customWidth="1"/>
    <col min="13826" max="13826" width="7.42578125" style="7" customWidth="1"/>
    <col min="13827" max="13827" width="27.140625" style="7" customWidth="1"/>
    <col min="13828" max="13828" width="22.42578125" style="7" customWidth="1"/>
    <col min="13829" max="13829" width="7.5703125" style="7" customWidth="1"/>
    <col min="13830" max="13830" width="8.5703125" style="7" bestFit="1" customWidth="1"/>
    <col min="13831" max="13831" width="6.140625" style="7" customWidth="1"/>
    <col min="13832" max="13832" width="7.5703125" style="7" customWidth="1"/>
    <col min="13833" max="13833" width="8.7109375" style="7" customWidth="1"/>
    <col min="13834" max="13834" width="7.28515625" style="7" customWidth="1"/>
    <col min="13835" max="13835" width="8.28515625" style="7" customWidth="1"/>
    <col min="13836" max="13836" width="10.5703125" style="7" customWidth="1"/>
    <col min="13837" max="13837" width="10.42578125" style="7" customWidth="1"/>
    <col min="13838" max="13838" width="0.42578125" style="7" customWidth="1"/>
    <col min="13839" max="13839" width="9" style="7" customWidth="1"/>
    <col min="13840" max="13840" width="6.85546875" style="7" customWidth="1"/>
    <col min="13841" max="13842" width="8" style="7" customWidth="1"/>
    <col min="13843" max="13843" width="10.85546875" style="7" customWidth="1"/>
    <col min="13844" max="13844" width="9.85546875" style="7" bestFit="1" customWidth="1"/>
    <col min="13845" max="14080" width="11.28515625" style="7"/>
    <col min="14081" max="14081" width="3.5703125" style="7" customWidth="1"/>
    <col min="14082" max="14082" width="7.42578125" style="7" customWidth="1"/>
    <col min="14083" max="14083" width="27.140625" style="7" customWidth="1"/>
    <col min="14084" max="14084" width="22.42578125" style="7" customWidth="1"/>
    <col min="14085" max="14085" width="7.5703125" style="7" customWidth="1"/>
    <col min="14086" max="14086" width="8.5703125" style="7" bestFit="1" customWidth="1"/>
    <col min="14087" max="14087" width="6.140625" style="7" customWidth="1"/>
    <col min="14088" max="14088" width="7.5703125" style="7" customWidth="1"/>
    <col min="14089" max="14089" width="8.7109375" style="7" customWidth="1"/>
    <col min="14090" max="14090" width="7.28515625" style="7" customWidth="1"/>
    <col min="14091" max="14091" width="8.28515625" style="7" customWidth="1"/>
    <col min="14092" max="14092" width="10.5703125" style="7" customWidth="1"/>
    <col min="14093" max="14093" width="10.42578125" style="7" customWidth="1"/>
    <col min="14094" max="14094" width="0.42578125" style="7" customWidth="1"/>
    <col min="14095" max="14095" width="9" style="7" customWidth="1"/>
    <col min="14096" max="14096" width="6.85546875" style="7" customWidth="1"/>
    <col min="14097" max="14098" width="8" style="7" customWidth="1"/>
    <col min="14099" max="14099" width="10.85546875" style="7" customWidth="1"/>
    <col min="14100" max="14100" width="9.85546875" style="7" bestFit="1" customWidth="1"/>
    <col min="14101" max="14336" width="11.28515625" style="7"/>
    <col min="14337" max="14337" width="3.5703125" style="7" customWidth="1"/>
    <col min="14338" max="14338" width="7.42578125" style="7" customWidth="1"/>
    <col min="14339" max="14339" width="27.140625" style="7" customWidth="1"/>
    <col min="14340" max="14340" width="22.42578125" style="7" customWidth="1"/>
    <col min="14341" max="14341" width="7.5703125" style="7" customWidth="1"/>
    <col min="14342" max="14342" width="8.5703125" style="7" bestFit="1" customWidth="1"/>
    <col min="14343" max="14343" width="6.140625" style="7" customWidth="1"/>
    <col min="14344" max="14344" width="7.5703125" style="7" customWidth="1"/>
    <col min="14345" max="14345" width="8.7109375" style="7" customWidth="1"/>
    <col min="14346" max="14346" width="7.28515625" style="7" customWidth="1"/>
    <col min="14347" max="14347" width="8.28515625" style="7" customWidth="1"/>
    <col min="14348" max="14348" width="10.5703125" style="7" customWidth="1"/>
    <col min="14349" max="14349" width="10.42578125" style="7" customWidth="1"/>
    <col min="14350" max="14350" width="0.42578125" style="7" customWidth="1"/>
    <col min="14351" max="14351" width="9" style="7" customWidth="1"/>
    <col min="14352" max="14352" width="6.85546875" style="7" customWidth="1"/>
    <col min="14353" max="14354" width="8" style="7" customWidth="1"/>
    <col min="14355" max="14355" width="10.85546875" style="7" customWidth="1"/>
    <col min="14356" max="14356" width="9.85546875" style="7" bestFit="1" customWidth="1"/>
    <col min="14357" max="14592" width="11.28515625" style="7"/>
    <col min="14593" max="14593" width="3.5703125" style="7" customWidth="1"/>
    <col min="14594" max="14594" width="7.42578125" style="7" customWidth="1"/>
    <col min="14595" max="14595" width="27.140625" style="7" customWidth="1"/>
    <col min="14596" max="14596" width="22.42578125" style="7" customWidth="1"/>
    <col min="14597" max="14597" width="7.5703125" style="7" customWidth="1"/>
    <col min="14598" max="14598" width="8.5703125" style="7" bestFit="1" customWidth="1"/>
    <col min="14599" max="14599" width="6.140625" style="7" customWidth="1"/>
    <col min="14600" max="14600" width="7.5703125" style="7" customWidth="1"/>
    <col min="14601" max="14601" width="8.7109375" style="7" customWidth="1"/>
    <col min="14602" max="14602" width="7.28515625" style="7" customWidth="1"/>
    <col min="14603" max="14603" width="8.28515625" style="7" customWidth="1"/>
    <col min="14604" max="14604" width="10.5703125" style="7" customWidth="1"/>
    <col min="14605" max="14605" width="10.42578125" style="7" customWidth="1"/>
    <col min="14606" max="14606" width="0.42578125" style="7" customWidth="1"/>
    <col min="14607" max="14607" width="9" style="7" customWidth="1"/>
    <col min="14608" max="14608" width="6.85546875" style="7" customWidth="1"/>
    <col min="14609" max="14610" width="8" style="7" customWidth="1"/>
    <col min="14611" max="14611" width="10.85546875" style="7" customWidth="1"/>
    <col min="14612" max="14612" width="9.85546875" style="7" bestFit="1" customWidth="1"/>
    <col min="14613" max="14848" width="11.28515625" style="7"/>
    <col min="14849" max="14849" width="3.5703125" style="7" customWidth="1"/>
    <col min="14850" max="14850" width="7.42578125" style="7" customWidth="1"/>
    <col min="14851" max="14851" width="27.140625" style="7" customWidth="1"/>
    <col min="14852" max="14852" width="22.42578125" style="7" customWidth="1"/>
    <col min="14853" max="14853" width="7.5703125" style="7" customWidth="1"/>
    <col min="14854" max="14854" width="8.5703125" style="7" bestFit="1" customWidth="1"/>
    <col min="14855" max="14855" width="6.140625" style="7" customWidth="1"/>
    <col min="14856" max="14856" width="7.5703125" style="7" customWidth="1"/>
    <col min="14857" max="14857" width="8.7109375" style="7" customWidth="1"/>
    <col min="14858" max="14858" width="7.28515625" style="7" customWidth="1"/>
    <col min="14859" max="14859" width="8.28515625" style="7" customWidth="1"/>
    <col min="14860" max="14860" width="10.5703125" style="7" customWidth="1"/>
    <col min="14861" max="14861" width="10.42578125" style="7" customWidth="1"/>
    <col min="14862" max="14862" width="0.42578125" style="7" customWidth="1"/>
    <col min="14863" max="14863" width="9" style="7" customWidth="1"/>
    <col min="14864" max="14864" width="6.85546875" style="7" customWidth="1"/>
    <col min="14865" max="14866" width="8" style="7" customWidth="1"/>
    <col min="14867" max="14867" width="10.85546875" style="7" customWidth="1"/>
    <col min="14868" max="14868" width="9.85546875" style="7" bestFit="1" customWidth="1"/>
    <col min="14869" max="15104" width="11.28515625" style="7"/>
    <col min="15105" max="15105" width="3.5703125" style="7" customWidth="1"/>
    <col min="15106" max="15106" width="7.42578125" style="7" customWidth="1"/>
    <col min="15107" max="15107" width="27.140625" style="7" customWidth="1"/>
    <col min="15108" max="15108" width="22.42578125" style="7" customWidth="1"/>
    <col min="15109" max="15109" width="7.5703125" style="7" customWidth="1"/>
    <col min="15110" max="15110" width="8.5703125" style="7" bestFit="1" customWidth="1"/>
    <col min="15111" max="15111" width="6.140625" style="7" customWidth="1"/>
    <col min="15112" max="15112" width="7.5703125" style="7" customWidth="1"/>
    <col min="15113" max="15113" width="8.7109375" style="7" customWidth="1"/>
    <col min="15114" max="15114" width="7.28515625" style="7" customWidth="1"/>
    <col min="15115" max="15115" width="8.28515625" style="7" customWidth="1"/>
    <col min="15116" max="15116" width="10.5703125" style="7" customWidth="1"/>
    <col min="15117" max="15117" width="10.42578125" style="7" customWidth="1"/>
    <col min="15118" max="15118" width="0.42578125" style="7" customWidth="1"/>
    <col min="15119" max="15119" width="9" style="7" customWidth="1"/>
    <col min="15120" max="15120" width="6.85546875" style="7" customWidth="1"/>
    <col min="15121" max="15122" width="8" style="7" customWidth="1"/>
    <col min="15123" max="15123" width="10.85546875" style="7" customWidth="1"/>
    <col min="15124" max="15124" width="9.85546875" style="7" bestFit="1" customWidth="1"/>
    <col min="15125" max="15360" width="11.28515625" style="7"/>
    <col min="15361" max="15361" width="3.5703125" style="7" customWidth="1"/>
    <col min="15362" max="15362" width="7.42578125" style="7" customWidth="1"/>
    <col min="15363" max="15363" width="27.140625" style="7" customWidth="1"/>
    <col min="15364" max="15364" width="22.42578125" style="7" customWidth="1"/>
    <col min="15365" max="15365" width="7.5703125" style="7" customWidth="1"/>
    <col min="15366" max="15366" width="8.5703125" style="7" bestFit="1" customWidth="1"/>
    <col min="15367" max="15367" width="6.140625" style="7" customWidth="1"/>
    <col min="15368" max="15368" width="7.5703125" style="7" customWidth="1"/>
    <col min="15369" max="15369" width="8.7109375" style="7" customWidth="1"/>
    <col min="15370" max="15370" width="7.28515625" style="7" customWidth="1"/>
    <col min="15371" max="15371" width="8.28515625" style="7" customWidth="1"/>
    <col min="15372" max="15372" width="10.5703125" style="7" customWidth="1"/>
    <col min="15373" max="15373" width="10.42578125" style="7" customWidth="1"/>
    <col min="15374" max="15374" width="0.42578125" style="7" customWidth="1"/>
    <col min="15375" max="15375" width="9" style="7" customWidth="1"/>
    <col min="15376" max="15376" width="6.85546875" style="7" customWidth="1"/>
    <col min="15377" max="15378" width="8" style="7" customWidth="1"/>
    <col min="15379" max="15379" width="10.85546875" style="7" customWidth="1"/>
    <col min="15380" max="15380" width="9.85546875" style="7" bestFit="1" customWidth="1"/>
    <col min="15381" max="15616" width="11.28515625" style="7"/>
    <col min="15617" max="15617" width="3.5703125" style="7" customWidth="1"/>
    <col min="15618" max="15618" width="7.42578125" style="7" customWidth="1"/>
    <col min="15619" max="15619" width="27.140625" style="7" customWidth="1"/>
    <col min="15620" max="15620" width="22.42578125" style="7" customWidth="1"/>
    <col min="15621" max="15621" width="7.5703125" style="7" customWidth="1"/>
    <col min="15622" max="15622" width="8.5703125" style="7" bestFit="1" customWidth="1"/>
    <col min="15623" max="15623" width="6.140625" style="7" customWidth="1"/>
    <col min="15624" max="15624" width="7.5703125" style="7" customWidth="1"/>
    <col min="15625" max="15625" width="8.7109375" style="7" customWidth="1"/>
    <col min="15626" max="15626" width="7.28515625" style="7" customWidth="1"/>
    <col min="15627" max="15627" width="8.28515625" style="7" customWidth="1"/>
    <col min="15628" max="15628" width="10.5703125" style="7" customWidth="1"/>
    <col min="15629" max="15629" width="10.42578125" style="7" customWidth="1"/>
    <col min="15630" max="15630" width="0.42578125" style="7" customWidth="1"/>
    <col min="15631" max="15631" width="9" style="7" customWidth="1"/>
    <col min="15632" max="15632" width="6.85546875" style="7" customWidth="1"/>
    <col min="15633" max="15634" width="8" style="7" customWidth="1"/>
    <col min="15635" max="15635" width="10.85546875" style="7" customWidth="1"/>
    <col min="15636" max="15636" width="9.85546875" style="7" bestFit="1" customWidth="1"/>
    <col min="15637" max="15872" width="11.28515625" style="7"/>
    <col min="15873" max="15873" width="3.5703125" style="7" customWidth="1"/>
    <col min="15874" max="15874" width="7.42578125" style="7" customWidth="1"/>
    <col min="15875" max="15875" width="27.140625" style="7" customWidth="1"/>
    <col min="15876" max="15876" width="22.42578125" style="7" customWidth="1"/>
    <col min="15877" max="15877" width="7.5703125" style="7" customWidth="1"/>
    <col min="15878" max="15878" width="8.5703125" style="7" bestFit="1" customWidth="1"/>
    <col min="15879" max="15879" width="6.140625" style="7" customWidth="1"/>
    <col min="15880" max="15880" width="7.5703125" style="7" customWidth="1"/>
    <col min="15881" max="15881" width="8.7109375" style="7" customWidth="1"/>
    <col min="15882" max="15882" width="7.28515625" style="7" customWidth="1"/>
    <col min="15883" max="15883" width="8.28515625" style="7" customWidth="1"/>
    <col min="15884" max="15884" width="10.5703125" style="7" customWidth="1"/>
    <col min="15885" max="15885" width="10.42578125" style="7" customWidth="1"/>
    <col min="15886" max="15886" width="0.42578125" style="7" customWidth="1"/>
    <col min="15887" max="15887" width="9" style="7" customWidth="1"/>
    <col min="15888" max="15888" width="6.85546875" style="7" customWidth="1"/>
    <col min="15889" max="15890" width="8" style="7" customWidth="1"/>
    <col min="15891" max="15891" width="10.85546875" style="7" customWidth="1"/>
    <col min="15892" max="15892" width="9.85546875" style="7" bestFit="1" customWidth="1"/>
    <col min="15893" max="16128" width="11.28515625" style="7"/>
    <col min="16129" max="16129" width="3.5703125" style="7" customWidth="1"/>
    <col min="16130" max="16130" width="7.42578125" style="7" customWidth="1"/>
    <col min="16131" max="16131" width="27.140625" style="7" customWidth="1"/>
    <col min="16132" max="16132" width="22.42578125" style="7" customWidth="1"/>
    <col min="16133" max="16133" width="7.5703125" style="7" customWidth="1"/>
    <col min="16134" max="16134" width="8.5703125" style="7" bestFit="1" customWidth="1"/>
    <col min="16135" max="16135" width="6.140625" style="7" customWidth="1"/>
    <col min="16136" max="16136" width="7.5703125" style="7" customWidth="1"/>
    <col min="16137" max="16137" width="8.7109375" style="7" customWidth="1"/>
    <col min="16138" max="16138" width="7.28515625" style="7" customWidth="1"/>
    <col min="16139" max="16139" width="8.28515625" style="7" customWidth="1"/>
    <col min="16140" max="16140" width="10.5703125" style="7" customWidth="1"/>
    <col min="16141" max="16141" width="10.42578125" style="7" customWidth="1"/>
    <col min="16142" max="16142" width="0.42578125" style="7" customWidth="1"/>
    <col min="16143" max="16143" width="9" style="7" customWidth="1"/>
    <col min="16144" max="16144" width="6.85546875" style="7" customWidth="1"/>
    <col min="16145" max="16146" width="8" style="7" customWidth="1"/>
    <col min="16147" max="16147" width="10.85546875" style="7" customWidth="1"/>
    <col min="16148" max="16148" width="9.85546875" style="7" bestFit="1" customWidth="1"/>
    <col min="16149" max="16384" width="11.28515625" style="7"/>
  </cols>
  <sheetData>
    <row r="1" spans="1:74" ht="15.75">
      <c r="A1" s="1"/>
      <c r="B1" s="1"/>
      <c r="C1" s="1"/>
      <c r="D1" s="1"/>
      <c r="E1" s="2"/>
      <c r="F1" s="3" t="s">
        <v>0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4" t="s">
        <v>0</v>
      </c>
      <c r="T1" s="1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</row>
    <row r="2" spans="1:74" s="8" customFormat="1" ht="15.75" customHeight="1">
      <c r="A2" s="3" t="s">
        <v>1</v>
      </c>
      <c r="B2" s="3"/>
      <c r="D2" s="3" t="s">
        <v>2</v>
      </c>
      <c r="E2" s="9"/>
      <c r="F2" s="3" t="s">
        <v>0</v>
      </c>
      <c r="G2" s="3"/>
      <c r="H2" s="3"/>
      <c r="I2" s="3"/>
      <c r="K2" s="3"/>
      <c r="L2" s="3"/>
      <c r="M2" s="10" t="s">
        <v>3</v>
      </c>
      <c r="N2" s="10"/>
      <c r="O2" s="10"/>
      <c r="P2" s="10"/>
      <c r="Q2" s="10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</row>
    <row r="3" spans="1:74" s="8" customFormat="1" ht="8.1" customHeight="1">
      <c r="A3" s="3"/>
      <c r="B3" s="3"/>
      <c r="D3" s="3"/>
      <c r="E3" s="9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</row>
    <row r="4" spans="1:74" s="8" customFormat="1" ht="15.75">
      <c r="A4" s="3" t="s">
        <v>4</v>
      </c>
      <c r="B4" s="3"/>
      <c r="D4" s="3" t="s">
        <v>5</v>
      </c>
      <c r="E4" s="9"/>
      <c r="F4" s="3"/>
      <c r="G4" s="3"/>
      <c r="H4" s="3"/>
      <c r="I4" s="3"/>
      <c r="K4" s="3"/>
      <c r="L4" s="3"/>
      <c r="M4" s="10" t="s">
        <v>349</v>
      </c>
      <c r="N4" s="10"/>
      <c r="O4" s="10"/>
      <c r="P4" s="10"/>
      <c r="Q4" s="10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</row>
    <row r="5" spans="1:74" s="8" customFormat="1" ht="8.1" customHeight="1">
      <c r="A5" s="3"/>
      <c r="B5" s="3"/>
      <c r="D5" s="3"/>
      <c r="E5" s="9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</row>
    <row r="6" spans="1:74" s="8" customFormat="1" ht="35.25" customHeight="1">
      <c r="A6" s="3" t="s">
        <v>6</v>
      </c>
      <c r="B6" s="3"/>
      <c r="D6" s="3" t="s">
        <v>7</v>
      </c>
      <c r="E6" s="9"/>
      <c r="F6" s="3"/>
      <c r="G6" s="3"/>
      <c r="H6" s="3"/>
      <c r="I6" s="3"/>
      <c r="K6" s="3"/>
      <c r="L6" s="3"/>
      <c r="M6" s="13" t="s">
        <v>8</v>
      </c>
      <c r="N6" s="10"/>
      <c r="O6" s="10"/>
      <c r="P6" s="10"/>
      <c r="Q6" s="10"/>
      <c r="R6" s="3"/>
      <c r="S6" s="3"/>
      <c r="T6" s="3"/>
      <c r="U6" s="3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</row>
    <row r="7" spans="1:74" s="8" customFormat="1" ht="8.1" customHeight="1">
      <c r="A7" s="3"/>
      <c r="B7" s="3"/>
      <c r="D7" s="3"/>
      <c r="E7" s="9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</row>
    <row r="8" spans="1:74" s="8" customFormat="1" ht="15.75">
      <c r="A8" s="3" t="s">
        <v>9</v>
      </c>
      <c r="B8" s="3"/>
      <c r="D8" s="3"/>
      <c r="E8" s="9"/>
      <c r="F8" s="3"/>
      <c r="G8" s="3"/>
      <c r="H8" s="3"/>
      <c r="I8" s="3"/>
      <c r="K8" s="3"/>
      <c r="L8" s="3"/>
      <c r="M8" s="10"/>
      <c r="N8" s="10"/>
      <c r="O8" s="10"/>
      <c r="P8" s="10"/>
      <c r="Q8" s="10"/>
      <c r="R8" s="3"/>
      <c r="S8" s="3"/>
      <c r="T8" s="3"/>
      <c r="U8" s="3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</row>
    <row r="9" spans="1:74" ht="15">
      <c r="A9" s="1"/>
      <c r="B9" s="1"/>
      <c r="C9" s="1"/>
      <c r="D9" s="1"/>
      <c r="E9" s="2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</row>
    <row r="10" spans="1:74" ht="15.75" thickBot="1">
      <c r="A10" s="1"/>
      <c r="B10" s="1"/>
      <c r="C10" s="1"/>
      <c r="D10" s="1"/>
      <c r="E10" s="2"/>
      <c r="F10" s="8"/>
      <c r="G10" s="8"/>
      <c r="H10" s="8"/>
      <c r="I10" s="8"/>
      <c r="J10" s="8"/>
      <c r="K10" s="1"/>
      <c r="L10" s="1"/>
      <c r="M10" s="1"/>
      <c r="N10" s="1"/>
      <c r="O10" s="1"/>
      <c r="P10" s="1"/>
      <c r="Q10" s="8"/>
      <c r="R10" s="8"/>
      <c r="S10" s="1"/>
      <c r="T10" s="1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</row>
    <row r="11" spans="1:74" ht="12.75" thickTop="1" thickBot="1">
      <c r="A11" s="1"/>
      <c r="B11" s="14" t="s">
        <v>10</v>
      </c>
      <c r="C11" s="15"/>
      <c r="D11" s="15"/>
      <c r="E11" s="16"/>
      <c r="F11" s="17"/>
      <c r="G11" s="15"/>
      <c r="H11" s="15"/>
      <c r="I11" s="15"/>
      <c r="J11" s="18"/>
      <c r="K11" s="1"/>
      <c r="L11" s="1"/>
      <c r="M11" s="19"/>
      <c r="N11" s="1"/>
      <c r="O11" s="1"/>
      <c r="P11" s="1"/>
      <c r="Q11" s="14" t="s">
        <v>10</v>
      </c>
      <c r="R11" s="18"/>
      <c r="S11" s="1"/>
      <c r="T11" s="1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</row>
    <row r="12" spans="1:74" ht="12" thickTop="1">
      <c r="A12" s="1"/>
      <c r="B12" s="20"/>
      <c r="C12" s="1"/>
      <c r="D12" s="1"/>
      <c r="E12" s="2"/>
      <c r="F12" s="1"/>
      <c r="G12" s="1"/>
      <c r="H12" s="1"/>
      <c r="I12" s="1"/>
      <c r="J12" s="21"/>
      <c r="K12" s="1"/>
      <c r="L12" s="1"/>
      <c r="M12" s="1"/>
      <c r="N12" s="1"/>
      <c r="O12" s="1"/>
      <c r="P12" s="1"/>
      <c r="Q12" s="20"/>
      <c r="R12" s="21"/>
      <c r="S12" s="1"/>
      <c r="T12" s="1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</row>
    <row r="13" spans="1:74">
      <c r="A13" s="1"/>
      <c r="B13" s="22" t="s">
        <v>11</v>
      </c>
      <c r="C13" s="23" t="s">
        <v>12</v>
      </c>
      <c r="D13" s="24" t="s">
        <v>13</v>
      </c>
      <c r="E13" s="23" t="s">
        <v>14</v>
      </c>
      <c r="F13" s="24" t="s">
        <v>15</v>
      </c>
      <c r="G13" s="25" t="s">
        <v>16</v>
      </c>
      <c r="H13" s="25" t="s">
        <v>17</v>
      </c>
      <c r="I13" s="25" t="s">
        <v>18</v>
      </c>
      <c r="J13" s="26" t="s">
        <v>19</v>
      </c>
      <c r="K13" s="23" t="s">
        <v>20</v>
      </c>
      <c r="L13" s="23" t="s">
        <v>21</v>
      </c>
      <c r="M13" s="24" t="s">
        <v>22</v>
      </c>
      <c r="N13" s="24" t="s">
        <v>23</v>
      </c>
      <c r="O13" s="24" t="s">
        <v>24</v>
      </c>
      <c r="P13" s="24" t="s">
        <v>25</v>
      </c>
      <c r="Q13" s="27" t="s">
        <v>26</v>
      </c>
      <c r="R13" s="26" t="s">
        <v>27</v>
      </c>
      <c r="S13" s="27" t="s">
        <v>28</v>
      </c>
      <c r="T13" s="28" t="s">
        <v>29</v>
      </c>
      <c r="U13" s="29" t="s">
        <v>30</v>
      </c>
      <c r="V13" s="30" t="s">
        <v>31</v>
      </c>
      <c r="W13" s="30" t="s">
        <v>32</v>
      </c>
      <c r="X13" s="30" t="s">
        <v>33</v>
      </c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</row>
    <row r="14" spans="1:74" ht="12.75">
      <c r="A14" s="31"/>
      <c r="B14" s="32" t="s">
        <v>0</v>
      </c>
      <c r="C14" s="33"/>
      <c r="D14" s="34" t="s">
        <v>0</v>
      </c>
      <c r="E14" s="34" t="s">
        <v>0</v>
      </c>
      <c r="F14" s="35" t="s">
        <v>0</v>
      </c>
      <c r="G14" s="36"/>
      <c r="H14" s="36" t="s">
        <v>34</v>
      </c>
      <c r="I14" s="37" t="s">
        <v>35</v>
      </c>
      <c r="J14" s="38"/>
      <c r="K14" s="39" t="s">
        <v>0</v>
      </c>
      <c r="L14" s="40"/>
      <c r="M14" s="41"/>
      <c r="N14" s="41"/>
      <c r="O14" s="41" t="s">
        <v>36</v>
      </c>
      <c r="P14" s="41"/>
      <c r="Q14" s="42"/>
      <c r="R14" s="43"/>
      <c r="S14" s="44"/>
      <c r="T14" s="45"/>
      <c r="U14" s="46" t="s">
        <v>37</v>
      </c>
      <c r="V14" s="46" t="s">
        <v>38</v>
      </c>
      <c r="W14" s="46" t="s">
        <v>39</v>
      </c>
      <c r="X14" s="46" t="s">
        <v>40</v>
      </c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</row>
    <row r="15" spans="1:74" ht="12.75">
      <c r="A15" s="47"/>
      <c r="B15" s="48" t="s">
        <v>41</v>
      </c>
      <c r="C15" s="36" t="s">
        <v>41</v>
      </c>
      <c r="D15" s="36" t="s">
        <v>42</v>
      </c>
      <c r="E15" s="36" t="s">
        <v>43</v>
      </c>
      <c r="F15" s="49" t="s">
        <v>0</v>
      </c>
      <c r="G15" s="36"/>
      <c r="H15" s="36" t="s">
        <v>44</v>
      </c>
      <c r="I15" s="50"/>
      <c r="J15" s="51"/>
      <c r="K15" s="52" t="s">
        <v>45</v>
      </c>
      <c r="L15" s="53" t="s">
        <v>46</v>
      </c>
      <c r="M15" s="53" t="s">
        <v>47</v>
      </c>
      <c r="N15" s="53" t="s">
        <v>48</v>
      </c>
      <c r="O15" s="53" t="s">
        <v>49</v>
      </c>
      <c r="P15" s="54" t="s">
        <v>50</v>
      </c>
      <c r="Q15" s="55" t="s">
        <v>51</v>
      </c>
      <c r="R15" s="56" t="s">
        <v>52</v>
      </c>
      <c r="S15" s="57" t="s">
        <v>53</v>
      </c>
      <c r="T15" s="58" t="s">
        <v>54</v>
      </c>
      <c r="U15" s="59"/>
      <c r="V15" s="59"/>
      <c r="W15" s="59"/>
      <c r="X15" s="59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</row>
    <row r="16" spans="1:74" ht="12.75">
      <c r="A16" s="47" t="s">
        <v>55</v>
      </c>
      <c r="B16" s="48" t="s">
        <v>56</v>
      </c>
      <c r="C16" s="36" t="s">
        <v>57</v>
      </c>
      <c r="D16" s="36" t="s">
        <v>58</v>
      </c>
      <c r="E16" s="36" t="s">
        <v>59</v>
      </c>
      <c r="F16" s="49" t="s">
        <v>60</v>
      </c>
      <c r="G16" s="36" t="s">
        <v>61</v>
      </c>
      <c r="H16" s="60" t="s">
        <v>62</v>
      </c>
      <c r="I16" s="61" t="s">
        <v>63</v>
      </c>
      <c r="J16" s="62" t="s">
        <v>64</v>
      </c>
      <c r="K16" s="63" t="s">
        <v>65</v>
      </c>
      <c r="L16" s="64" t="s">
        <v>66</v>
      </c>
      <c r="M16" s="65" t="s">
        <v>67</v>
      </c>
      <c r="N16" s="49"/>
      <c r="O16" s="66" t="s">
        <v>68</v>
      </c>
      <c r="P16" s="67" t="s">
        <v>69</v>
      </c>
      <c r="Q16" s="68" t="s">
        <v>70</v>
      </c>
      <c r="R16" s="69" t="s">
        <v>70</v>
      </c>
      <c r="S16" s="63" t="s">
        <v>71</v>
      </c>
      <c r="T16" s="70" t="s">
        <v>72</v>
      </c>
      <c r="U16" s="71"/>
      <c r="V16" s="71"/>
      <c r="W16" s="71"/>
      <c r="X16" s="71"/>
      <c r="Y16" s="5"/>
      <c r="Z16" s="72" t="s">
        <v>72</v>
      </c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</row>
    <row r="17" spans="1:55" s="77" customFormat="1">
      <c r="A17" s="73">
        <v>1</v>
      </c>
      <c r="B17" s="73" t="s">
        <v>73</v>
      </c>
      <c r="C17" s="73" t="s">
        <v>74</v>
      </c>
      <c r="D17" s="73" t="s">
        <v>75</v>
      </c>
      <c r="E17" s="74" t="s">
        <v>76</v>
      </c>
      <c r="F17" s="73">
        <v>165788</v>
      </c>
      <c r="G17" s="73"/>
      <c r="H17" s="73"/>
      <c r="I17" s="75"/>
      <c r="J17" s="73"/>
      <c r="K17" s="73">
        <f>F17+J17</f>
        <v>165788</v>
      </c>
      <c r="L17" s="73">
        <f>K17*0.3077</f>
        <v>51012.967599999996</v>
      </c>
      <c r="M17" s="73"/>
      <c r="N17" s="73"/>
      <c r="O17" s="73">
        <f>K17*0.0145</f>
        <v>2403.9259999999999</v>
      </c>
      <c r="P17" s="73">
        <v>182.78</v>
      </c>
      <c r="Q17" s="73">
        <v>6116.24</v>
      </c>
      <c r="R17" s="73">
        <v>297.95999999999998</v>
      </c>
      <c r="S17" s="73">
        <f t="shared" ref="S17:S77" si="0">SUM(L17:R17)</f>
        <v>60013.873599999992</v>
      </c>
      <c r="T17" s="73">
        <f t="shared" ref="T17:T81" si="1">K17+S17</f>
        <v>225801.87359999999</v>
      </c>
      <c r="U17" s="73">
        <v>48859</v>
      </c>
      <c r="V17" s="7">
        <v>60865.5</v>
      </c>
      <c r="W17" s="73"/>
      <c r="X17" s="73"/>
      <c r="Y17" s="76"/>
      <c r="Z17" s="76">
        <f>U17+V18</f>
        <v>48859</v>
      </c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</row>
    <row r="18" spans="1:55" s="77" customFormat="1">
      <c r="A18" s="73">
        <v>2</v>
      </c>
      <c r="B18" s="73" t="s">
        <v>77</v>
      </c>
      <c r="C18" s="73" t="s">
        <v>78</v>
      </c>
      <c r="D18" s="73" t="s">
        <v>79</v>
      </c>
      <c r="E18" s="74" t="s">
        <v>80</v>
      </c>
      <c r="F18" s="73">
        <v>20224.43</v>
      </c>
      <c r="G18" s="73"/>
      <c r="H18" s="73"/>
      <c r="I18" s="75"/>
      <c r="J18" s="73"/>
      <c r="K18" s="73">
        <f t="shared" ref="K18:K77" si="2">F18+J18</f>
        <v>20224.43</v>
      </c>
      <c r="L18" s="73">
        <f t="shared" ref="L18:L77" si="3">K18*0.3077</f>
        <v>6223.0571109999992</v>
      </c>
      <c r="M18" s="73"/>
      <c r="N18" s="73"/>
      <c r="O18" s="73">
        <f t="shared" ref="O18:O77" si="4">K18*0.0145</f>
        <v>293.25423499999999</v>
      </c>
      <c r="P18" s="73"/>
      <c r="Q18" s="73"/>
      <c r="R18" s="73"/>
      <c r="S18" s="73">
        <f t="shared" si="0"/>
        <v>6516.3113459999995</v>
      </c>
      <c r="T18" s="73">
        <f t="shared" si="1"/>
        <v>26740.741345999999</v>
      </c>
      <c r="U18" s="73">
        <v>6026</v>
      </c>
      <c r="V18" s="73"/>
      <c r="W18" s="73"/>
      <c r="X18" s="73"/>
      <c r="Y18" s="76"/>
      <c r="Z18" s="76">
        <f>U18+V19</f>
        <v>71437.36</v>
      </c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</row>
    <row r="19" spans="1:55" s="77" customFormat="1">
      <c r="A19" s="73"/>
      <c r="B19" s="73"/>
      <c r="C19" s="73" t="s">
        <v>81</v>
      </c>
      <c r="D19" s="73" t="s">
        <v>82</v>
      </c>
      <c r="E19" s="74" t="s">
        <v>83</v>
      </c>
      <c r="F19" s="73">
        <v>150702.51</v>
      </c>
      <c r="G19" s="73"/>
      <c r="H19" s="73"/>
      <c r="I19" s="75">
        <v>46281</v>
      </c>
      <c r="J19" s="73"/>
      <c r="K19" s="73">
        <f t="shared" si="2"/>
        <v>150702.51</v>
      </c>
      <c r="L19" s="73">
        <f t="shared" si="3"/>
        <v>46371.162326999998</v>
      </c>
      <c r="M19" s="73">
        <v>495</v>
      </c>
      <c r="N19" s="73"/>
      <c r="O19" s="73">
        <f t="shared" si="4"/>
        <v>2185.1863950000002</v>
      </c>
      <c r="P19" s="73">
        <v>183</v>
      </c>
      <c r="Q19" s="73">
        <v>11230.96</v>
      </c>
      <c r="R19" s="73">
        <v>393.12</v>
      </c>
      <c r="S19" s="73">
        <f t="shared" si="0"/>
        <v>60858.428721999997</v>
      </c>
      <c r="T19" s="73">
        <f t="shared" si="1"/>
        <v>211560.93872199999</v>
      </c>
      <c r="U19" s="73">
        <v>51619</v>
      </c>
      <c r="V19" s="73">
        <v>65411.360000000001</v>
      </c>
      <c r="W19" s="73"/>
      <c r="X19" s="73"/>
      <c r="Y19" s="76"/>
      <c r="Z19" s="76">
        <f>U19+V20</f>
        <v>79701.509999999995</v>
      </c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</row>
    <row r="20" spans="1:55" s="77" customFormat="1">
      <c r="A20" s="73">
        <v>3</v>
      </c>
      <c r="B20" s="73" t="s">
        <v>84</v>
      </c>
      <c r="C20" s="73" t="s">
        <v>85</v>
      </c>
      <c r="D20" s="73" t="s">
        <v>86</v>
      </c>
      <c r="E20" s="74" t="s">
        <v>87</v>
      </c>
      <c r="F20" s="73">
        <v>119633</v>
      </c>
      <c r="G20" s="73"/>
      <c r="H20" s="73"/>
      <c r="I20" s="75"/>
      <c r="J20" s="73"/>
      <c r="K20" s="73">
        <f t="shared" si="2"/>
        <v>119633</v>
      </c>
      <c r="L20" s="73">
        <f t="shared" si="3"/>
        <v>36811.074099999998</v>
      </c>
      <c r="M20" s="73"/>
      <c r="N20" s="73"/>
      <c r="O20" s="73">
        <f t="shared" si="4"/>
        <v>1734.6785</v>
      </c>
      <c r="P20" s="73">
        <v>183</v>
      </c>
      <c r="Q20" s="73">
        <v>6116.24</v>
      </c>
      <c r="R20" s="73">
        <v>298</v>
      </c>
      <c r="S20" s="73">
        <f t="shared" si="0"/>
        <v>45142.992599999998</v>
      </c>
      <c r="T20" s="73">
        <f t="shared" si="1"/>
        <v>164775.9926</v>
      </c>
      <c r="U20" s="73">
        <v>2813.54</v>
      </c>
      <c r="V20" s="73">
        <v>28082.51</v>
      </c>
      <c r="W20" s="73"/>
      <c r="X20" s="73"/>
      <c r="Y20" s="76"/>
      <c r="Z20" s="76">
        <f>U20+V21</f>
        <v>25607.15</v>
      </c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</row>
    <row r="21" spans="1:55" s="77" customFormat="1">
      <c r="A21" s="73">
        <v>4</v>
      </c>
      <c r="B21" s="73" t="s">
        <v>88</v>
      </c>
      <c r="C21" s="78" t="s">
        <v>89</v>
      </c>
      <c r="D21" s="78" t="s">
        <v>90</v>
      </c>
      <c r="E21" s="79" t="s">
        <v>91</v>
      </c>
      <c r="F21" s="78">
        <v>55837</v>
      </c>
      <c r="G21" s="73"/>
      <c r="H21" s="73"/>
      <c r="I21" s="75">
        <v>46190</v>
      </c>
      <c r="J21" s="73"/>
      <c r="K21" s="73">
        <f t="shared" si="2"/>
        <v>55837</v>
      </c>
      <c r="L21" s="73">
        <f t="shared" si="3"/>
        <v>17181.044899999997</v>
      </c>
      <c r="M21" s="73">
        <v>495</v>
      </c>
      <c r="N21" s="73"/>
      <c r="O21" s="73">
        <f t="shared" si="4"/>
        <v>809.63650000000007</v>
      </c>
      <c r="P21" s="73">
        <v>183</v>
      </c>
      <c r="Q21" s="73">
        <v>3993.86</v>
      </c>
      <c r="R21" s="73">
        <v>297.95999999999998</v>
      </c>
      <c r="S21" s="73">
        <f t="shared" si="0"/>
        <v>22960.501399999997</v>
      </c>
      <c r="T21" s="73">
        <f t="shared" si="1"/>
        <v>78797.501399999994</v>
      </c>
      <c r="U21" s="73">
        <v>19388</v>
      </c>
      <c r="V21" s="73">
        <v>22793.61</v>
      </c>
      <c r="W21" s="73"/>
      <c r="X21" s="73"/>
      <c r="Y21" s="76"/>
      <c r="Z21" s="76">
        <f>U21</f>
        <v>19388</v>
      </c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</row>
    <row r="22" spans="1:55" s="77" customFormat="1">
      <c r="A22" s="73"/>
      <c r="B22" s="73"/>
      <c r="C22" s="78" t="s">
        <v>92</v>
      </c>
      <c r="D22" s="78" t="s">
        <v>90</v>
      </c>
      <c r="E22" s="79" t="s">
        <v>93</v>
      </c>
      <c r="F22" s="78">
        <v>59623</v>
      </c>
      <c r="G22" s="73"/>
      <c r="H22" s="73"/>
      <c r="I22" s="75"/>
      <c r="J22" s="73"/>
      <c r="K22" s="73">
        <f t="shared" si="2"/>
        <v>59623</v>
      </c>
      <c r="L22" s="73">
        <f t="shared" si="3"/>
        <v>18345.997099999997</v>
      </c>
      <c r="M22" s="73"/>
      <c r="N22" s="73"/>
      <c r="O22" s="73">
        <f t="shared" si="4"/>
        <v>864.5335</v>
      </c>
      <c r="P22" s="73"/>
      <c r="Q22" s="73"/>
      <c r="R22" s="73"/>
      <c r="S22" s="73"/>
      <c r="T22" s="73"/>
      <c r="U22" s="73"/>
      <c r="V22" s="73"/>
      <c r="W22" s="73"/>
      <c r="X22" s="73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</row>
    <row r="23" spans="1:55" s="77" customFormat="1">
      <c r="A23" s="73">
        <v>5</v>
      </c>
      <c r="B23" s="73" t="s">
        <v>94</v>
      </c>
      <c r="C23" s="78" t="s">
        <v>95</v>
      </c>
      <c r="D23" s="78" t="s">
        <v>96</v>
      </c>
      <c r="E23" s="79" t="s">
        <v>97</v>
      </c>
      <c r="F23" s="78">
        <v>65276</v>
      </c>
      <c r="G23" s="73"/>
      <c r="H23" s="73"/>
      <c r="I23" s="75">
        <v>46333</v>
      </c>
      <c r="J23" s="73"/>
      <c r="K23" s="73">
        <f t="shared" si="2"/>
        <v>65276</v>
      </c>
      <c r="L23" s="73">
        <f t="shared" si="3"/>
        <v>20085.425199999998</v>
      </c>
      <c r="M23" s="73"/>
      <c r="N23" s="73"/>
      <c r="O23" s="73">
        <f t="shared" si="4"/>
        <v>946.50200000000007</v>
      </c>
      <c r="P23" s="73">
        <v>183</v>
      </c>
      <c r="Q23" s="73">
        <v>9339.4599999999991</v>
      </c>
      <c r="R23" s="73">
        <v>529.62</v>
      </c>
      <c r="S23" s="73">
        <f t="shared" si="0"/>
        <v>31084.007199999996</v>
      </c>
      <c r="T23" s="73">
        <f t="shared" si="1"/>
        <v>96360.007199999993</v>
      </c>
      <c r="U23" s="73">
        <v>19593</v>
      </c>
      <c r="V23" s="73">
        <v>23259.32</v>
      </c>
      <c r="W23" s="73"/>
      <c r="X23" s="73"/>
      <c r="Y23" s="76"/>
      <c r="Z23" s="76">
        <f t="shared" ref="Z23:Z77" si="5">U23+V23</f>
        <v>42852.32</v>
      </c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</row>
    <row r="24" spans="1:55" s="77" customFormat="1">
      <c r="A24" s="73">
        <v>6</v>
      </c>
      <c r="B24" s="73" t="s">
        <v>98</v>
      </c>
      <c r="C24" s="78" t="s">
        <v>99</v>
      </c>
      <c r="D24" s="78" t="s">
        <v>100</v>
      </c>
      <c r="E24" s="79" t="s">
        <v>101</v>
      </c>
      <c r="F24" s="78">
        <v>81636</v>
      </c>
      <c r="G24" s="73"/>
      <c r="H24" s="73"/>
      <c r="I24" s="75">
        <v>46063</v>
      </c>
      <c r="J24" s="73"/>
      <c r="K24" s="73">
        <f t="shared" si="2"/>
        <v>81636</v>
      </c>
      <c r="L24" s="73">
        <f t="shared" si="3"/>
        <v>25119.397199999999</v>
      </c>
      <c r="M24" s="73"/>
      <c r="N24" s="73"/>
      <c r="O24" s="73">
        <f t="shared" si="4"/>
        <v>1183.722</v>
      </c>
      <c r="P24" s="73">
        <v>183</v>
      </c>
      <c r="Q24" s="73">
        <v>9595.2999999999993</v>
      </c>
      <c r="R24" s="73">
        <v>328.38</v>
      </c>
      <c r="S24" s="73">
        <f t="shared" si="0"/>
        <v>36409.799200000001</v>
      </c>
      <c r="T24" s="73">
        <f t="shared" si="1"/>
        <v>118045.79920000001</v>
      </c>
      <c r="U24" s="73">
        <v>28173</v>
      </c>
      <c r="V24" s="73">
        <v>32835.46</v>
      </c>
      <c r="W24" s="73"/>
      <c r="X24" s="73"/>
      <c r="Y24" s="76"/>
      <c r="Z24" s="76">
        <f t="shared" si="5"/>
        <v>61008.46</v>
      </c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</row>
    <row r="25" spans="1:55" s="77" customFormat="1">
      <c r="A25" s="73">
        <v>7</v>
      </c>
      <c r="B25" s="73" t="s">
        <v>102</v>
      </c>
      <c r="C25" s="78" t="s">
        <v>103</v>
      </c>
      <c r="D25" s="78" t="s">
        <v>104</v>
      </c>
      <c r="E25" s="79" t="s">
        <v>105</v>
      </c>
      <c r="F25" s="78">
        <v>78394.38</v>
      </c>
      <c r="G25" s="73"/>
      <c r="H25" s="73"/>
      <c r="I25" s="75">
        <v>46353</v>
      </c>
      <c r="J25" s="73"/>
      <c r="K25" s="73">
        <f t="shared" si="2"/>
        <v>78394.38</v>
      </c>
      <c r="L25" s="73">
        <f t="shared" si="3"/>
        <v>24121.950725999999</v>
      </c>
      <c r="M25" s="73">
        <v>495</v>
      </c>
      <c r="N25" s="73"/>
      <c r="O25" s="73">
        <f t="shared" si="4"/>
        <v>1136.7185100000002</v>
      </c>
      <c r="P25" s="73">
        <v>183</v>
      </c>
      <c r="Q25" s="73">
        <v>11230.96</v>
      </c>
      <c r="R25" s="73">
        <v>393.12</v>
      </c>
      <c r="S25" s="73">
        <f t="shared" si="0"/>
        <v>37560.749235999996</v>
      </c>
      <c r="T25" s="73">
        <f t="shared" si="1"/>
        <v>115955.12923600001</v>
      </c>
      <c r="U25" s="73">
        <v>27215.21</v>
      </c>
      <c r="V25" s="73">
        <v>32469.5</v>
      </c>
      <c r="W25" s="73"/>
      <c r="X25" s="73"/>
      <c r="Y25" s="76"/>
      <c r="Z25" s="76">
        <f t="shared" si="5"/>
        <v>59684.71</v>
      </c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</row>
    <row r="26" spans="1:55" s="81" customFormat="1">
      <c r="A26" s="78">
        <v>8</v>
      </c>
      <c r="B26" s="78" t="s">
        <v>106</v>
      </c>
      <c r="C26" s="78" t="s">
        <v>81</v>
      </c>
      <c r="D26" s="78" t="s">
        <v>107</v>
      </c>
      <c r="E26" s="79" t="s">
        <v>108</v>
      </c>
      <c r="F26" s="78">
        <v>130662.52</v>
      </c>
      <c r="G26" s="78"/>
      <c r="H26" s="78"/>
      <c r="I26" s="80">
        <v>45807</v>
      </c>
      <c r="J26" s="78">
        <f>((138199-F26)/26)*9</f>
        <v>2608.7815384615369</v>
      </c>
      <c r="K26" s="73">
        <f t="shared" si="2"/>
        <v>133271.30153846153</v>
      </c>
      <c r="L26" s="73">
        <f t="shared" si="3"/>
        <v>41007.579483384608</v>
      </c>
      <c r="M26" s="73"/>
      <c r="N26" s="73"/>
      <c r="O26" s="73">
        <f t="shared" si="4"/>
        <v>1932.4338723076924</v>
      </c>
      <c r="P26" s="73">
        <v>183</v>
      </c>
      <c r="Q26" s="73">
        <v>3999.08</v>
      </c>
      <c r="R26" s="73">
        <v>194.82</v>
      </c>
      <c r="S26" s="73">
        <f t="shared" si="0"/>
        <v>47316.913355692304</v>
      </c>
      <c r="T26" s="73">
        <f t="shared" si="1"/>
        <v>180588.21489415382</v>
      </c>
      <c r="U26" s="73">
        <v>41888.43</v>
      </c>
      <c r="V26" s="73">
        <v>48948.41</v>
      </c>
      <c r="W26" s="73"/>
      <c r="X26" s="73"/>
      <c r="Y26" s="76"/>
      <c r="Z26" s="76">
        <f t="shared" si="5"/>
        <v>90836.84</v>
      </c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</row>
    <row r="27" spans="1:55" s="77" customFormat="1">
      <c r="A27" s="73">
        <v>9</v>
      </c>
      <c r="B27" s="73" t="s">
        <v>109</v>
      </c>
      <c r="C27" s="73" t="s">
        <v>81</v>
      </c>
      <c r="D27" s="73" t="s">
        <v>110</v>
      </c>
      <c r="E27" s="74" t="s">
        <v>111</v>
      </c>
      <c r="F27" s="73">
        <v>160190.88</v>
      </c>
      <c r="G27" s="73"/>
      <c r="H27" s="73"/>
      <c r="I27" s="75">
        <v>46299</v>
      </c>
      <c r="J27" s="73"/>
      <c r="K27" s="73">
        <f t="shared" si="2"/>
        <v>160190.88</v>
      </c>
      <c r="L27" s="73">
        <f t="shared" si="3"/>
        <v>49290.733775999994</v>
      </c>
      <c r="M27" s="73">
        <v>495</v>
      </c>
      <c r="N27" s="73"/>
      <c r="O27" s="73">
        <f t="shared" si="4"/>
        <v>2322.7677600000002</v>
      </c>
      <c r="P27" s="73">
        <v>183</v>
      </c>
      <c r="Q27" s="73">
        <v>6116.24</v>
      </c>
      <c r="R27" s="73">
        <v>297.95999999999998</v>
      </c>
      <c r="S27" s="73">
        <f t="shared" si="0"/>
        <v>58705.701535999993</v>
      </c>
      <c r="T27" s="73">
        <f t="shared" si="1"/>
        <v>218896.58153600001</v>
      </c>
      <c r="U27" s="73">
        <v>50824</v>
      </c>
      <c r="V27" s="73">
        <v>59453.1</v>
      </c>
      <c r="W27" s="73"/>
      <c r="X27" s="73"/>
      <c r="Y27" s="76"/>
      <c r="Z27" s="76">
        <f t="shared" si="5"/>
        <v>110277.1</v>
      </c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</row>
    <row r="28" spans="1:55" s="77" customFormat="1">
      <c r="A28" s="73">
        <v>10</v>
      </c>
      <c r="B28" s="73" t="s">
        <v>112</v>
      </c>
      <c r="C28" s="73" t="s">
        <v>81</v>
      </c>
      <c r="D28" s="73" t="s">
        <v>113</v>
      </c>
      <c r="E28" s="74" t="s">
        <v>83</v>
      </c>
      <c r="F28" s="73">
        <v>150702.51</v>
      </c>
      <c r="G28" s="73"/>
      <c r="H28" s="73"/>
      <c r="I28" s="75">
        <v>46211</v>
      </c>
      <c r="J28" s="73"/>
      <c r="K28" s="73">
        <f t="shared" si="2"/>
        <v>150702.51</v>
      </c>
      <c r="L28" s="73">
        <f t="shared" si="3"/>
        <v>46371.162326999998</v>
      </c>
      <c r="M28" s="73"/>
      <c r="N28" s="73"/>
      <c r="O28" s="73">
        <f t="shared" si="4"/>
        <v>2185.1863950000002</v>
      </c>
      <c r="P28" s="73">
        <v>183</v>
      </c>
      <c r="Q28" s="73">
        <v>3993.86</v>
      </c>
      <c r="R28" s="73">
        <v>297.95999999999998</v>
      </c>
      <c r="S28" s="73">
        <f t="shared" si="0"/>
        <v>53031.168721999995</v>
      </c>
      <c r="T28" s="73">
        <f t="shared" si="1"/>
        <v>203733.67872200001</v>
      </c>
      <c r="U28" s="73">
        <v>47306</v>
      </c>
      <c r="V28" s="73">
        <v>55076.7</v>
      </c>
      <c r="W28" s="73"/>
      <c r="X28" s="73"/>
      <c r="Y28" s="76"/>
      <c r="Z28" s="76">
        <f t="shared" si="5"/>
        <v>102382.7</v>
      </c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</row>
    <row r="29" spans="1:55" s="77" customFormat="1">
      <c r="A29" s="73">
        <v>11</v>
      </c>
      <c r="B29" s="73" t="s">
        <v>114</v>
      </c>
      <c r="C29" s="73" t="s">
        <v>81</v>
      </c>
      <c r="D29" s="73" t="s">
        <v>115</v>
      </c>
      <c r="E29" s="74" t="s">
        <v>116</v>
      </c>
      <c r="F29" s="73">
        <v>138199.24</v>
      </c>
      <c r="G29" s="73"/>
      <c r="H29" s="73"/>
      <c r="I29" s="75">
        <v>45993</v>
      </c>
      <c r="J29" s="73"/>
      <c r="K29" s="73">
        <f t="shared" si="2"/>
        <v>138199.24</v>
      </c>
      <c r="L29" s="73">
        <f t="shared" si="3"/>
        <v>42523.906147999995</v>
      </c>
      <c r="M29" s="73">
        <v>495</v>
      </c>
      <c r="N29" s="73"/>
      <c r="O29" s="73">
        <f t="shared" si="4"/>
        <v>2003.8889799999999</v>
      </c>
      <c r="P29" s="73">
        <v>183</v>
      </c>
      <c r="Q29" s="73">
        <v>6116.24</v>
      </c>
      <c r="R29" s="73">
        <v>297.95999999999998</v>
      </c>
      <c r="S29" s="73">
        <f t="shared" si="0"/>
        <v>51619.995127999995</v>
      </c>
      <c r="T29" s="73">
        <f t="shared" si="1"/>
        <v>189819.23512799997</v>
      </c>
      <c r="U29" s="73">
        <v>44656</v>
      </c>
      <c r="V29" s="73">
        <v>51756.53</v>
      </c>
      <c r="W29" s="73"/>
      <c r="X29" s="73"/>
      <c r="Y29" s="76"/>
      <c r="Z29" s="76">
        <f t="shared" si="5"/>
        <v>96412.53</v>
      </c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</row>
    <row r="30" spans="1:55" s="77" customFormat="1">
      <c r="A30" s="73">
        <v>12</v>
      </c>
      <c r="B30" s="73" t="s">
        <v>117</v>
      </c>
      <c r="C30" s="73" t="s">
        <v>81</v>
      </c>
      <c r="D30" s="73" t="s">
        <v>118</v>
      </c>
      <c r="E30" s="74" t="s">
        <v>83</v>
      </c>
      <c r="F30" s="73">
        <v>150702.51</v>
      </c>
      <c r="G30" s="73"/>
      <c r="H30" s="73"/>
      <c r="I30" s="75">
        <v>46328</v>
      </c>
      <c r="J30" s="73"/>
      <c r="K30" s="73">
        <f t="shared" si="2"/>
        <v>150702.51</v>
      </c>
      <c r="L30" s="73">
        <f t="shared" si="3"/>
        <v>46371.162326999998</v>
      </c>
      <c r="M30" s="73">
        <v>495</v>
      </c>
      <c r="N30" s="73"/>
      <c r="O30" s="73">
        <f t="shared" si="4"/>
        <v>2185.1863950000002</v>
      </c>
      <c r="P30" s="73">
        <v>183</v>
      </c>
      <c r="Q30" s="73">
        <v>11230.96</v>
      </c>
      <c r="R30" s="73">
        <v>393.12</v>
      </c>
      <c r="S30" s="73">
        <f t="shared" si="0"/>
        <v>60858.428721999997</v>
      </c>
      <c r="T30" s="73">
        <f t="shared" si="1"/>
        <v>211560.93872199999</v>
      </c>
      <c r="U30" s="73">
        <v>49099.41</v>
      </c>
      <c r="V30" s="73">
        <v>58073.89</v>
      </c>
      <c r="W30" s="73"/>
      <c r="X30" s="73"/>
      <c r="Y30" s="76"/>
      <c r="Z30" s="76">
        <f t="shared" si="5"/>
        <v>107173.3</v>
      </c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</row>
    <row r="31" spans="1:55" s="77" customFormat="1">
      <c r="A31" s="73">
        <v>13</v>
      </c>
      <c r="B31" s="73" t="s">
        <v>119</v>
      </c>
      <c r="C31" s="73" t="s">
        <v>81</v>
      </c>
      <c r="D31" s="73" t="s">
        <v>120</v>
      </c>
      <c r="E31" s="74" t="s">
        <v>121</v>
      </c>
      <c r="F31" s="73">
        <v>97326.36</v>
      </c>
      <c r="G31" s="73"/>
      <c r="H31" s="73"/>
      <c r="I31" s="75"/>
      <c r="J31" s="73"/>
      <c r="K31" s="73">
        <f t="shared" si="2"/>
        <v>97326.36</v>
      </c>
      <c r="L31" s="73">
        <f t="shared" si="3"/>
        <v>29947.320971999998</v>
      </c>
      <c r="M31" s="73">
        <v>495</v>
      </c>
      <c r="N31" s="73"/>
      <c r="O31" s="73">
        <f t="shared" si="4"/>
        <v>1411.2322200000001</v>
      </c>
      <c r="P31" s="73"/>
      <c r="Q31" s="73">
        <v>6928.48</v>
      </c>
      <c r="R31" s="73">
        <v>393.12</v>
      </c>
      <c r="S31" s="73">
        <f t="shared" si="0"/>
        <v>39175.153192000005</v>
      </c>
      <c r="T31" s="73">
        <f t="shared" si="1"/>
        <v>136501.51319200001</v>
      </c>
      <c r="U31" s="73">
        <v>3707.27</v>
      </c>
      <c r="V31" s="73">
        <v>37212.35</v>
      </c>
      <c r="W31" s="73"/>
      <c r="X31" s="73"/>
      <c r="Y31" s="76"/>
      <c r="Z31" s="76">
        <f t="shared" si="5"/>
        <v>40919.619999999995</v>
      </c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</row>
    <row r="32" spans="1:55" s="77" customFormat="1">
      <c r="A32" s="73">
        <v>14</v>
      </c>
      <c r="B32" s="73" t="s">
        <v>122</v>
      </c>
      <c r="C32" s="73" t="s">
        <v>81</v>
      </c>
      <c r="D32" s="73" t="s">
        <v>123</v>
      </c>
      <c r="E32" s="74" t="s">
        <v>108</v>
      </c>
      <c r="F32" s="73">
        <v>130662.52</v>
      </c>
      <c r="G32" s="73"/>
      <c r="H32" s="73"/>
      <c r="I32" s="75">
        <v>45931</v>
      </c>
      <c r="J32" s="73"/>
      <c r="K32" s="73">
        <f t="shared" si="2"/>
        <v>130662.52</v>
      </c>
      <c r="L32" s="73">
        <f t="shared" si="3"/>
        <v>40204.857403999995</v>
      </c>
      <c r="M32" s="73"/>
      <c r="N32" s="73"/>
      <c r="O32" s="73">
        <f t="shared" si="4"/>
        <v>1894.6065400000002</v>
      </c>
      <c r="P32" s="73">
        <v>183</v>
      </c>
      <c r="Q32" s="73">
        <v>0</v>
      </c>
      <c r="R32" s="73">
        <v>0</v>
      </c>
      <c r="S32" s="73">
        <f t="shared" si="0"/>
        <v>42282.463943999996</v>
      </c>
      <c r="T32" s="73">
        <f t="shared" si="1"/>
        <v>172944.98394400001</v>
      </c>
      <c r="U32" s="73">
        <v>39950</v>
      </c>
      <c r="V32" s="73">
        <v>46563.16</v>
      </c>
      <c r="W32" s="73"/>
      <c r="X32" s="73"/>
      <c r="Y32" s="76"/>
      <c r="Z32" s="76">
        <f t="shared" si="5"/>
        <v>86513.16</v>
      </c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</row>
    <row r="33" spans="1:55" s="77" customFormat="1">
      <c r="A33" s="73">
        <v>15</v>
      </c>
      <c r="B33" s="73" t="s">
        <v>124</v>
      </c>
      <c r="C33" s="73" t="s">
        <v>125</v>
      </c>
      <c r="D33" s="73" t="s">
        <v>126</v>
      </c>
      <c r="E33" s="74" t="s">
        <v>127</v>
      </c>
      <c r="F33" s="73">
        <v>121458</v>
      </c>
      <c r="G33" s="73"/>
      <c r="H33" s="73"/>
      <c r="I33" s="75">
        <v>45977</v>
      </c>
      <c r="J33" s="73"/>
      <c r="K33" s="73">
        <f t="shared" si="2"/>
        <v>121458</v>
      </c>
      <c r="L33" s="73">
        <f t="shared" si="3"/>
        <v>37372.626599999996</v>
      </c>
      <c r="M33" s="73">
        <v>495</v>
      </c>
      <c r="N33" s="73"/>
      <c r="O33" s="73">
        <f t="shared" si="4"/>
        <v>1761.1410000000001</v>
      </c>
      <c r="P33" s="73">
        <v>183</v>
      </c>
      <c r="Q33" s="73">
        <v>9595.2999999999993</v>
      </c>
      <c r="R33" s="73">
        <v>328.38</v>
      </c>
      <c r="S33" s="73">
        <f t="shared" si="0"/>
        <v>49735.447599999992</v>
      </c>
      <c r="T33" s="73">
        <f t="shared" si="1"/>
        <v>171193.44759999998</v>
      </c>
      <c r="U33" s="73">
        <v>40331</v>
      </c>
      <c r="V33" s="73">
        <v>47007.31</v>
      </c>
      <c r="W33" s="73"/>
      <c r="X33" s="73"/>
      <c r="Y33" s="76"/>
      <c r="Z33" s="76">
        <f t="shared" si="5"/>
        <v>87338.31</v>
      </c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</row>
    <row r="34" spans="1:55" s="77" customFormat="1">
      <c r="A34" s="73">
        <v>16</v>
      </c>
      <c r="B34" s="73" t="s">
        <v>128</v>
      </c>
      <c r="C34" s="73" t="s">
        <v>81</v>
      </c>
      <c r="D34" s="73" t="s">
        <v>129</v>
      </c>
      <c r="E34" s="74" t="s">
        <v>130</v>
      </c>
      <c r="F34" s="73">
        <v>110430.68</v>
      </c>
      <c r="G34" s="73"/>
      <c r="H34" s="73"/>
      <c r="I34" s="75"/>
      <c r="J34" s="73"/>
      <c r="K34" s="73">
        <f t="shared" si="2"/>
        <v>110430.68</v>
      </c>
      <c r="L34" s="73">
        <f t="shared" si="3"/>
        <v>33979.520235999997</v>
      </c>
      <c r="M34" s="73"/>
      <c r="N34" s="73"/>
      <c r="O34" s="73">
        <f t="shared" si="4"/>
        <v>1601.24486</v>
      </c>
      <c r="P34" s="73"/>
      <c r="Q34" s="73"/>
      <c r="R34" s="73"/>
      <c r="S34" s="73">
        <f t="shared" si="0"/>
        <v>35580.765095999996</v>
      </c>
      <c r="T34" s="73">
        <f t="shared" si="1"/>
        <v>146011.44509599998</v>
      </c>
      <c r="U34" s="73"/>
      <c r="V34" s="73">
        <v>11950.84</v>
      </c>
      <c r="W34" s="73"/>
      <c r="X34" s="73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</row>
    <row r="35" spans="1:55" s="77" customFormat="1">
      <c r="A35" s="73">
        <v>17</v>
      </c>
      <c r="B35" s="78" t="s">
        <v>131</v>
      </c>
      <c r="C35" s="78" t="s">
        <v>125</v>
      </c>
      <c r="D35" s="78" t="s">
        <v>132</v>
      </c>
      <c r="E35" s="79" t="s">
        <v>133</v>
      </c>
      <c r="F35" s="78">
        <v>97052.32</v>
      </c>
      <c r="G35" s="78"/>
      <c r="H35" s="78"/>
      <c r="I35" s="80">
        <v>45870</v>
      </c>
      <c r="J35" s="78">
        <f>((102651-F35)/26)*4</f>
        <v>861.33538461538353</v>
      </c>
      <c r="K35" s="73">
        <f t="shared" si="2"/>
        <v>97913.655384615384</v>
      </c>
      <c r="L35" s="73">
        <f t="shared" si="3"/>
        <v>30128.031761846152</v>
      </c>
      <c r="M35" s="73">
        <v>495</v>
      </c>
      <c r="N35" s="73"/>
      <c r="O35" s="73">
        <f t="shared" si="4"/>
        <v>1419.7480030769232</v>
      </c>
      <c r="P35" s="73">
        <v>183</v>
      </c>
      <c r="Q35" s="73">
        <v>3993.86</v>
      </c>
      <c r="R35" s="73">
        <v>297.95999999999998</v>
      </c>
      <c r="S35" s="73">
        <f t="shared" si="0"/>
        <v>36517.59976492307</v>
      </c>
      <c r="T35" s="73">
        <f t="shared" si="1"/>
        <v>134431.25514953845</v>
      </c>
      <c r="U35" s="73">
        <v>30984</v>
      </c>
      <c r="V35" s="73">
        <v>36113.980000000003</v>
      </c>
      <c r="W35" s="73"/>
      <c r="X35" s="73"/>
      <c r="Y35" s="76"/>
      <c r="Z35" s="76">
        <f t="shared" si="5"/>
        <v>67097.98000000001</v>
      </c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</row>
    <row r="36" spans="1:55">
      <c r="A36" s="73">
        <v>18</v>
      </c>
      <c r="B36" s="78" t="s">
        <v>134</v>
      </c>
      <c r="C36" s="78" t="s">
        <v>135</v>
      </c>
      <c r="D36" s="78" t="s">
        <v>136</v>
      </c>
      <c r="E36" s="79" t="s">
        <v>137</v>
      </c>
      <c r="F36" s="78">
        <v>63023</v>
      </c>
      <c r="G36" s="78"/>
      <c r="H36" s="78"/>
      <c r="I36" s="80"/>
      <c r="J36" s="78"/>
      <c r="K36" s="78">
        <f t="shared" si="2"/>
        <v>63023</v>
      </c>
      <c r="L36" s="78">
        <f t="shared" si="3"/>
        <v>19392.177099999997</v>
      </c>
      <c r="M36" s="78">
        <v>495</v>
      </c>
      <c r="N36" s="78"/>
      <c r="O36" s="78">
        <f t="shared" si="4"/>
        <v>913.83350000000007</v>
      </c>
      <c r="P36" s="78">
        <v>182.78</v>
      </c>
      <c r="Q36" s="78">
        <v>3993.86</v>
      </c>
      <c r="R36" s="78">
        <v>297.95999999999998</v>
      </c>
      <c r="S36" s="78">
        <f t="shared" si="0"/>
        <v>25275.610599999996</v>
      </c>
      <c r="T36" s="78">
        <f t="shared" si="1"/>
        <v>88298.6106</v>
      </c>
      <c r="U36" s="78">
        <v>18091</v>
      </c>
      <c r="V36" s="73">
        <v>24312.45</v>
      </c>
      <c r="W36" s="78"/>
      <c r="X36" s="78"/>
      <c r="Z36" s="7">
        <f t="shared" si="5"/>
        <v>42403.45</v>
      </c>
    </row>
    <row r="37" spans="1:55" s="77" customFormat="1">
      <c r="A37" s="73">
        <v>19</v>
      </c>
      <c r="B37" s="78" t="s">
        <v>138</v>
      </c>
      <c r="C37" s="78" t="s">
        <v>139</v>
      </c>
      <c r="D37" s="78" t="s">
        <v>140</v>
      </c>
      <c r="E37" s="79" t="s">
        <v>141</v>
      </c>
      <c r="F37" s="78">
        <v>79050</v>
      </c>
      <c r="G37" s="78"/>
      <c r="H37" s="78"/>
      <c r="I37" s="80">
        <v>45811</v>
      </c>
      <c r="J37" s="78">
        <f>((83609-F37)/26)*9</f>
        <v>1578.1153846153845</v>
      </c>
      <c r="K37" s="73">
        <f t="shared" si="2"/>
        <v>80628.11538461539</v>
      </c>
      <c r="L37" s="73">
        <f t="shared" si="3"/>
        <v>24809.271103846153</v>
      </c>
      <c r="M37" s="73"/>
      <c r="N37" s="73"/>
      <c r="O37" s="73">
        <f t="shared" si="4"/>
        <v>1169.1076730769232</v>
      </c>
      <c r="P37" s="73">
        <v>183</v>
      </c>
      <c r="Q37" s="73">
        <v>6116.24</v>
      </c>
      <c r="R37" s="73">
        <v>297.95999999999998</v>
      </c>
      <c r="S37" s="73">
        <f t="shared" si="0"/>
        <v>32575.578776923074</v>
      </c>
      <c r="T37" s="73">
        <f t="shared" si="1"/>
        <v>113203.69416153847</v>
      </c>
      <c r="U37" s="73">
        <v>26258</v>
      </c>
      <c r="V37" s="73">
        <v>30570.89</v>
      </c>
      <c r="W37" s="73"/>
      <c r="X37" s="73"/>
      <c r="Y37" s="76"/>
      <c r="Z37" s="76">
        <f t="shared" si="5"/>
        <v>56828.89</v>
      </c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</row>
    <row r="38" spans="1:55" s="82" customFormat="1">
      <c r="A38" s="73">
        <v>20</v>
      </c>
      <c r="B38" s="73" t="s">
        <v>142</v>
      </c>
      <c r="C38" s="73" t="s">
        <v>139</v>
      </c>
      <c r="D38" s="73" t="s">
        <v>143</v>
      </c>
      <c r="E38" s="74" t="s">
        <v>144</v>
      </c>
      <c r="F38" s="73">
        <v>71145</v>
      </c>
      <c r="G38" s="73"/>
      <c r="H38" s="73"/>
      <c r="I38" s="75">
        <v>46187</v>
      </c>
      <c r="J38" s="73"/>
      <c r="K38" s="73">
        <f t="shared" si="2"/>
        <v>71145</v>
      </c>
      <c r="L38" s="73">
        <f t="shared" si="3"/>
        <v>21891.316499999997</v>
      </c>
      <c r="M38" s="73">
        <v>495</v>
      </c>
      <c r="N38" s="73"/>
      <c r="O38" s="73">
        <f t="shared" si="4"/>
        <v>1031.6025</v>
      </c>
      <c r="P38" s="73">
        <v>183</v>
      </c>
      <c r="Q38" s="73">
        <v>0</v>
      </c>
      <c r="R38" s="73">
        <v>0</v>
      </c>
      <c r="S38" s="73">
        <f t="shared" si="0"/>
        <v>23600.918999999998</v>
      </c>
      <c r="T38" s="73">
        <f t="shared" si="1"/>
        <v>94745.918999999994</v>
      </c>
      <c r="U38" s="73">
        <v>19385.98</v>
      </c>
      <c r="V38" s="73">
        <v>23974.959999999999</v>
      </c>
      <c r="W38" s="73"/>
      <c r="X38" s="73"/>
      <c r="Y38" s="76"/>
      <c r="Z38" s="76">
        <f t="shared" si="5"/>
        <v>43360.94</v>
      </c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</row>
    <row r="39" spans="1:55" s="82" customFormat="1">
      <c r="A39" s="73">
        <v>21</v>
      </c>
      <c r="B39" s="73" t="s">
        <v>145</v>
      </c>
      <c r="C39" s="73" t="s">
        <v>81</v>
      </c>
      <c r="D39" s="73" t="s">
        <v>146</v>
      </c>
      <c r="E39" s="74" t="s">
        <v>147</v>
      </c>
      <c r="F39" s="73">
        <v>100804.56</v>
      </c>
      <c r="G39" s="73"/>
      <c r="H39" s="73"/>
      <c r="I39" s="75"/>
      <c r="J39" s="73"/>
      <c r="K39" s="73">
        <f t="shared" si="2"/>
        <v>100804.56</v>
      </c>
      <c r="L39" s="73">
        <f t="shared" si="3"/>
        <v>31017.563111999996</v>
      </c>
      <c r="M39" s="73"/>
      <c r="N39" s="73"/>
      <c r="O39" s="73">
        <f t="shared" si="4"/>
        <v>1461.6661200000001</v>
      </c>
      <c r="P39" s="73"/>
      <c r="Q39" s="73"/>
      <c r="R39" s="73"/>
      <c r="S39" s="73"/>
      <c r="T39" s="73"/>
      <c r="U39" s="73">
        <v>33394.99</v>
      </c>
      <c r="V39" s="73">
        <v>39021.43</v>
      </c>
      <c r="W39" s="73"/>
      <c r="X39" s="73"/>
      <c r="Y39" s="76"/>
      <c r="Z39" s="76">
        <f t="shared" si="5"/>
        <v>72416.42</v>
      </c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</row>
    <row r="40" spans="1:55" s="77" customFormat="1">
      <c r="A40" s="73">
        <v>22</v>
      </c>
      <c r="B40" s="73" t="s">
        <v>148</v>
      </c>
      <c r="C40" s="73" t="s">
        <v>149</v>
      </c>
      <c r="D40" s="73" t="s">
        <v>150</v>
      </c>
      <c r="E40" s="74" t="s">
        <v>151</v>
      </c>
      <c r="F40" s="73">
        <v>58831</v>
      </c>
      <c r="G40" s="73"/>
      <c r="H40" s="73"/>
      <c r="I40" s="75">
        <v>45975</v>
      </c>
      <c r="J40" s="73"/>
      <c r="K40" s="73">
        <f t="shared" si="2"/>
        <v>58831</v>
      </c>
      <c r="L40" s="73">
        <f t="shared" si="3"/>
        <v>18102.298699999999</v>
      </c>
      <c r="M40" s="73">
        <v>495</v>
      </c>
      <c r="N40" s="73"/>
      <c r="O40" s="73">
        <f t="shared" si="4"/>
        <v>853.04950000000008</v>
      </c>
      <c r="P40" s="73">
        <v>183</v>
      </c>
      <c r="Q40" s="73">
        <v>9339.4599999999991</v>
      </c>
      <c r="R40" s="73">
        <v>529.62</v>
      </c>
      <c r="S40" s="73">
        <f t="shared" si="0"/>
        <v>29502.428199999998</v>
      </c>
      <c r="T40" s="73">
        <f t="shared" si="1"/>
        <v>88333.428199999995</v>
      </c>
      <c r="U40" s="73">
        <v>24181</v>
      </c>
      <c r="V40" s="73">
        <v>27152.37</v>
      </c>
      <c r="W40" s="73"/>
      <c r="X40" s="73"/>
      <c r="Y40" s="76"/>
      <c r="Z40" s="76">
        <f t="shared" si="5"/>
        <v>51333.369999999995</v>
      </c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</row>
    <row r="41" spans="1:55" s="77" customFormat="1">
      <c r="A41" s="73">
        <v>23</v>
      </c>
      <c r="B41" s="73" t="s">
        <v>152</v>
      </c>
      <c r="C41" s="73" t="s">
        <v>153</v>
      </c>
      <c r="D41" s="73" t="s">
        <v>154</v>
      </c>
      <c r="E41" s="74" t="s">
        <v>155</v>
      </c>
      <c r="F41" s="73">
        <v>52456</v>
      </c>
      <c r="G41" s="73"/>
      <c r="H41" s="73"/>
      <c r="I41" s="75">
        <v>46291</v>
      </c>
      <c r="J41" s="73"/>
      <c r="K41" s="73">
        <f t="shared" si="2"/>
        <v>52456</v>
      </c>
      <c r="L41" s="73">
        <f t="shared" si="3"/>
        <v>16140.711199999998</v>
      </c>
      <c r="M41" s="73">
        <v>495</v>
      </c>
      <c r="N41" s="73"/>
      <c r="O41" s="73">
        <f t="shared" si="4"/>
        <v>760.61200000000008</v>
      </c>
      <c r="P41" s="73">
        <v>183</v>
      </c>
      <c r="Q41" s="73">
        <v>9339.4599999999991</v>
      </c>
      <c r="R41" s="73">
        <v>0</v>
      </c>
      <c r="S41" s="73">
        <f t="shared" si="0"/>
        <v>26918.783199999998</v>
      </c>
      <c r="T41" s="73">
        <f t="shared" si="1"/>
        <v>79374.783200000005</v>
      </c>
      <c r="U41" s="73">
        <v>18749</v>
      </c>
      <c r="V41" s="73">
        <v>21862.959999999999</v>
      </c>
      <c r="W41" s="73"/>
      <c r="X41" s="73"/>
      <c r="Y41" s="76"/>
      <c r="Z41" s="76">
        <f t="shared" si="5"/>
        <v>40611.96</v>
      </c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</row>
    <row r="42" spans="1:55" s="77" customFormat="1">
      <c r="A42" s="73">
        <v>24</v>
      </c>
      <c r="B42" s="78" t="s">
        <v>156</v>
      </c>
      <c r="C42" s="78" t="s">
        <v>157</v>
      </c>
      <c r="D42" s="78" t="s">
        <v>158</v>
      </c>
      <c r="E42" s="79" t="s">
        <v>159</v>
      </c>
      <c r="F42" s="78">
        <v>87991</v>
      </c>
      <c r="G42" s="78"/>
      <c r="H42" s="78"/>
      <c r="I42" s="80">
        <v>45741</v>
      </c>
      <c r="J42" s="78">
        <f>((90783-F42)/26)*13</f>
        <v>1396</v>
      </c>
      <c r="K42" s="73">
        <f t="shared" si="2"/>
        <v>89387</v>
      </c>
      <c r="L42" s="73">
        <f t="shared" si="3"/>
        <v>27504.379899999996</v>
      </c>
      <c r="M42" s="73">
        <v>495</v>
      </c>
      <c r="N42" s="73"/>
      <c r="O42" s="73">
        <f t="shared" si="4"/>
        <v>1296.1115</v>
      </c>
      <c r="P42" s="73">
        <v>183</v>
      </c>
      <c r="Q42" s="73">
        <v>6928.48</v>
      </c>
      <c r="R42" s="73">
        <v>393.12</v>
      </c>
      <c r="S42" s="73">
        <f t="shared" si="0"/>
        <v>36800.091399999998</v>
      </c>
      <c r="T42" s="73">
        <f t="shared" si="1"/>
        <v>126187.0914</v>
      </c>
      <c r="U42" s="73">
        <v>31699</v>
      </c>
      <c r="V42" s="73">
        <v>36973.58</v>
      </c>
      <c r="W42" s="73"/>
      <c r="X42" s="73"/>
      <c r="Y42" s="76"/>
      <c r="Z42" s="76">
        <f t="shared" si="5"/>
        <v>68672.58</v>
      </c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</row>
    <row r="43" spans="1:55" s="77" customFormat="1">
      <c r="A43" s="73">
        <v>25</v>
      </c>
      <c r="B43" s="78" t="s">
        <v>160</v>
      </c>
      <c r="C43" s="78" t="s">
        <v>161</v>
      </c>
      <c r="D43" s="78" t="s">
        <v>162</v>
      </c>
      <c r="E43" s="79" t="s">
        <v>163</v>
      </c>
      <c r="F43" s="78">
        <v>73892</v>
      </c>
      <c r="G43" s="78"/>
      <c r="H43" s="78"/>
      <c r="I43" s="80">
        <v>45902</v>
      </c>
      <c r="J43" s="78">
        <f>((76691-F43)/26)*2</f>
        <v>215.30769230769232</v>
      </c>
      <c r="K43" s="73">
        <f t="shared" si="2"/>
        <v>74107.307692307688</v>
      </c>
      <c r="L43" s="73">
        <f t="shared" si="3"/>
        <v>22802.818576923073</v>
      </c>
      <c r="M43" s="73">
        <v>495</v>
      </c>
      <c r="N43" s="73"/>
      <c r="O43" s="73">
        <f t="shared" si="4"/>
        <v>1074.5559615384616</v>
      </c>
      <c r="P43" s="73">
        <v>183</v>
      </c>
      <c r="Q43" s="73">
        <v>3993.86</v>
      </c>
      <c r="R43" s="73">
        <v>297.95999999999998</v>
      </c>
      <c r="S43" s="73">
        <f t="shared" si="0"/>
        <v>28847.194538461536</v>
      </c>
      <c r="T43" s="73">
        <f t="shared" si="1"/>
        <v>102954.50223076923</v>
      </c>
      <c r="U43" s="73">
        <v>24731</v>
      </c>
      <c r="V43" s="73">
        <v>28854.74</v>
      </c>
      <c r="W43" s="73"/>
      <c r="X43" s="73"/>
      <c r="Y43" s="76"/>
      <c r="Z43" s="76">
        <f t="shared" si="5"/>
        <v>53585.740000000005</v>
      </c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</row>
    <row r="44" spans="1:55" s="77" customFormat="1">
      <c r="A44" s="73">
        <v>26</v>
      </c>
      <c r="B44" s="73" t="s">
        <v>164</v>
      </c>
      <c r="C44" s="73" t="s">
        <v>165</v>
      </c>
      <c r="D44" s="73" t="s">
        <v>166</v>
      </c>
      <c r="E44" s="74" t="s">
        <v>167</v>
      </c>
      <c r="F44" s="73">
        <v>104166.52</v>
      </c>
      <c r="G44" s="73"/>
      <c r="H44" s="73"/>
      <c r="I44" s="75">
        <v>45967</v>
      </c>
      <c r="J44" s="73"/>
      <c r="K44" s="73">
        <f t="shared" si="2"/>
        <v>104166.52</v>
      </c>
      <c r="L44" s="73">
        <f t="shared" si="3"/>
        <v>32052.038203999997</v>
      </c>
      <c r="M44" s="73"/>
      <c r="N44" s="73"/>
      <c r="O44" s="73">
        <f t="shared" si="4"/>
        <v>1510.4145400000002</v>
      </c>
      <c r="P44" s="73">
        <v>183</v>
      </c>
      <c r="Q44" s="73">
        <v>0</v>
      </c>
      <c r="R44" s="73">
        <v>0</v>
      </c>
      <c r="S44" s="73">
        <f t="shared" si="0"/>
        <v>33745.452743999995</v>
      </c>
      <c r="T44" s="73">
        <f t="shared" si="1"/>
        <v>137911.972744</v>
      </c>
      <c r="U44" s="73">
        <v>35428</v>
      </c>
      <c r="V44" s="73">
        <v>40116.230000000003</v>
      </c>
      <c r="W44" s="73"/>
      <c r="X44" s="73"/>
      <c r="Y44" s="76"/>
      <c r="Z44" s="76">
        <f t="shared" si="5"/>
        <v>75544.23000000001</v>
      </c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</row>
    <row r="45" spans="1:55" s="77" customFormat="1">
      <c r="A45" s="73">
        <v>27</v>
      </c>
      <c r="B45" s="73" t="s">
        <v>168</v>
      </c>
      <c r="C45" s="73" t="s">
        <v>169</v>
      </c>
      <c r="D45" s="73" t="s">
        <v>170</v>
      </c>
      <c r="E45" s="74" t="s">
        <v>171</v>
      </c>
      <c r="F45" s="73">
        <v>85902.54</v>
      </c>
      <c r="G45" s="73"/>
      <c r="H45" s="73"/>
      <c r="I45" s="75">
        <v>45987</v>
      </c>
      <c r="J45" s="73"/>
      <c r="K45" s="73">
        <f t="shared" si="2"/>
        <v>85902.54</v>
      </c>
      <c r="L45" s="73">
        <f t="shared" si="3"/>
        <v>26432.211557999995</v>
      </c>
      <c r="M45" s="73">
        <v>495</v>
      </c>
      <c r="N45" s="73"/>
      <c r="O45" s="73">
        <f t="shared" si="4"/>
        <v>1245.58683</v>
      </c>
      <c r="P45" s="73">
        <v>183</v>
      </c>
      <c r="Q45" s="73">
        <v>0</v>
      </c>
      <c r="R45" s="73">
        <v>0</v>
      </c>
      <c r="S45" s="73">
        <f t="shared" si="0"/>
        <v>28355.798387999996</v>
      </c>
      <c r="T45" s="73">
        <f t="shared" si="1"/>
        <v>114258.33838799999</v>
      </c>
      <c r="U45" s="73">
        <v>30069</v>
      </c>
      <c r="V45" s="73">
        <v>35007.699999999997</v>
      </c>
      <c r="W45" s="73"/>
      <c r="X45" s="73"/>
      <c r="Y45" s="76"/>
      <c r="Z45" s="76">
        <f t="shared" si="5"/>
        <v>65076.7</v>
      </c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</row>
    <row r="46" spans="1:55" s="77" customFormat="1">
      <c r="A46" s="73">
        <v>28</v>
      </c>
      <c r="B46" s="73" t="s">
        <v>172</v>
      </c>
      <c r="C46" s="73" t="s">
        <v>169</v>
      </c>
      <c r="D46" s="73" t="s">
        <v>173</v>
      </c>
      <c r="E46" s="74" t="s">
        <v>174</v>
      </c>
      <c r="F46" s="73">
        <v>92019.91</v>
      </c>
      <c r="G46" s="73"/>
      <c r="H46" s="73"/>
      <c r="I46" s="75">
        <v>46214</v>
      </c>
      <c r="J46" s="73"/>
      <c r="K46" s="73">
        <f t="shared" si="2"/>
        <v>92019.91</v>
      </c>
      <c r="L46" s="73">
        <f t="shared" si="3"/>
        <v>28314.526307</v>
      </c>
      <c r="M46" s="73"/>
      <c r="N46" s="73"/>
      <c r="O46" s="73">
        <f t="shared" si="4"/>
        <v>1334.2886950000002</v>
      </c>
      <c r="P46" s="73">
        <v>183</v>
      </c>
      <c r="Q46" s="73">
        <v>0</v>
      </c>
      <c r="R46" s="73">
        <v>0</v>
      </c>
      <c r="S46" s="73">
        <f t="shared" si="0"/>
        <v>29831.815001999999</v>
      </c>
      <c r="T46" s="73">
        <f t="shared" si="1"/>
        <v>121851.72500200001</v>
      </c>
      <c r="U46" s="73">
        <v>27200</v>
      </c>
      <c r="V46" s="73">
        <v>33751.360000000001</v>
      </c>
      <c r="W46" s="73"/>
      <c r="X46" s="73"/>
      <c r="Y46" s="76"/>
      <c r="Z46" s="76">
        <f t="shared" si="5"/>
        <v>60951.360000000001</v>
      </c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</row>
    <row r="47" spans="1:55" s="77" customFormat="1">
      <c r="A47" s="73">
        <v>29</v>
      </c>
      <c r="B47" s="78" t="s">
        <v>175</v>
      </c>
      <c r="C47" s="78" t="s">
        <v>176</v>
      </c>
      <c r="D47" s="78" t="s">
        <v>177</v>
      </c>
      <c r="E47" s="79" t="s">
        <v>178</v>
      </c>
      <c r="F47" s="78">
        <v>53646.27</v>
      </c>
      <c r="G47" s="78"/>
      <c r="H47" s="78"/>
      <c r="I47" s="80">
        <v>45800</v>
      </c>
      <c r="J47" s="78">
        <f>((56627.4-F47)/26)*9</f>
        <v>1031.9296153846169</v>
      </c>
      <c r="K47" s="73">
        <f t="shared" si="2"/>
        <v>54678.199615384612</v>
      </c>
      <c r="L47" s="73">
        <f t="shared" si="3"/>
        <v>16824.482021653843</v>
      </c>
      <c r="M47" s="73"/>
      <c r="N47" s="73"/>
      <c r="O47" s="73">
        <f t="shared" si="4"/>
        <v>792.83389442307691</v>
      </c>
      <c r="P47" s="73">
        <v>183</v>
      </c>
      <c r="Q47" s="73">
        <v>6928.48</v>
      </c>
      <c r="R47" s="73">
        <v>393.12</v>
      </c>
      <c r="S47" s="73">
        <f t="shared" si="0"/>
        <v>25121.91591607692</v>
      </c>
      <c r="T47" s="73">
        <f t="shared" si="1"/>
        <v>79800.115531461532</v>
      </c>
      <c r="U47" s="73">
        <v>16057</v>
      </c>
      <c r="V47" s="73">
        <v>21505.47</v>
      </c>
      <c r="W47" s="73"/>
      <c r="X47" s="73"/>
      <c r="Y47" s="76"/>
      <c r="Z47" s="76">
        <f t="shared" si="5"/>
        <v>37562.47</v>
      </c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</row>
    <row r="48" spans="1:55" s="77" customFormat="1">
      <c r="A48" s="73">
        <v>30</v>
      </c>
      <c r="B48" s="73" t="s">
        <v>179</v>
      </c>
      <c r="C48" s="73" t="s">
        <v>180</v>
      </c>
      <c r="D48" s="73" t="s">
        <v>181</v>
      </c>
      <c r="E48" s="74" t="s">
        <v>182</v>
      </c>
      <c r="F48" s="73">
        <v>68182.289999999994</v>
      </c>
      <c r="G48" s="73"/>
      <c r="H48" s="73"/>
      <c r="I48" s="75">
        <v>45972</v>
      </c>
      <c r="J48" s="73"/>
      <c r="K48" s="73">
        <f t="shared" si="2"/>
        <v>68182.289999999994</v>
      </c>
      <c r="L48" s="73">
        <f t="shared" si="3"/>
        <v>20979.690632999995</v>
      </c>
      <c r="M48" s="73"/>
      <c r="N48" s="73"/>
      <c r="O48" s="73">
        <f t="shared" si="4"/>
        <v>988.64320499999997</v>
      </c>
      <c r="P48" s="73">
        <v>183</v>
      </c>
      <c r="Q48" s="73">
        <v>0</v>
      </c>
      <c r="R48" s="73">
        <v>0</v>
      </c>
      <c r="S48" s="73">
        <f t="shared" si="0"/>
        <v>22151.333837999995</v>
      </c>
      <c r="T48" s="73">
        <f t="shared" si="1"/>
        <v>90333.623837999985</v>
      </c>
      <c r="U48" s="73">
        <v>20780</v>
      </c>
      <c r="V48" s="73">
        <v>24308.34</v>
      </c>
      <c r="W48" s="73"/>
      <c r="X48" s="73"/>
      <c r="Y48" s="76"/>
      <c r="Z48" s="76">
        <f t="shared" si="5"/>
        <v>45088.34</v>
      </c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</row>
    <row r="49" spans="1:55" s="77" customFormat="1">
      <c r="A49" s="73">
        <v>31</v>
      </c>
      <c r="B49" s="73" t="s">
        <v>183</v>
      </c>
      <c r="C49" s="73" t="s">
        <v>180</v>
      </c>
      <c r="D49" s="73" t="s">
        <v>184</v>
      </c>
      <c r="E49" s="74" t="s">
        <v>185</v>
      </c>
      <c r="F49" s="73">
        <v>61496.26</v>
      </c>
      <c r="G49" s="73"/>
      <c r="H49" s="73"/>
      <c r="I49" s="75">
        <v>46304</v>
      </c>
      <c r="J49" s="73"/>
      <c r="K49" s="73">
        <f t="shared" si="2"/>
        <v>61496.26</v>
      </c>
      <c r="L49" s="73">
        <f t="shared" si="3"/>
        <v>18922.399202000001</v>
      </c>
      <c r="M49" s="73">
        <v>495</v>
      </c>
      <c r="N49" s="73"/>
      <c r="O49" s="73">
        <f t="shared" si="4"/>
        <v>891.69577000000004</v>
      </c>
      <c r="P49" s="73">
        <v>183</v>
      </c>
      <c r="Q49" s="73">
        <v>5708.82</v>
      </c>
      <c r="R49" s="73">
        <v>328.38</v>
      </c>
      <c r="S49" s="73">
        <f t="shared" si="0"/>
        <v>26529.294972</v>
      </c>
      <c r="T49" s="73">
        <f t="shared" si="1"/>
        <v>88025.554971999998</v>
      </c>
      <c r="U49" s="73">
        <v>21138</v>
      </c>
      <c r="V49" s="73">
        <v>23820</v>
      </c>
      <c r="W49" s="73"/>
      <c r="X49" s="73"/>
      <c r="Y49" s="76"/>
      <c r="Z49" s="76">
        <f t="shared" si="5"/>
        <v>44958</v>
      </c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</row>
    <row r="50" spans="1:55" s="77" customFormat="1">
      <c r="A50" s="73">
        <v>32</v>
      </c>
      <c r="B50" s="78" t="s">
        <v>186</v>
      </c>
      <c r="C50" s="78" t="s">
        <v>187</v>
      </c>
      <c r="D50" s="78" t="s">
        <v>188</v>
      </c>
      <c r="E50" s="79" t="s">
        <v>189</v>
      </c>
      <c r="F50" s="78">
        <v>26174</v>
      </c>
      <c r="G50" s="78"/>
      <c r="H50" s="78"/>
      <c r="I50" s="80">
        <v>45884</v>
      </c>
      <c r="J50" s="78">
        <f>((27167-F50)/26)*3</f>
        <v>114.57692307692308</v>
      </c>
      <c r="K50" s="73">
        <f t="shared" si="2"/>
        <v>26288.576923076922</v>
      </c>
      <c r="L50" s="73">
        <f t="shared" si="3"/>
        <v>8088.9951192307681</v>
      </c>
      <c r="M50" s="73">
        <v>495</v>
      </c>
      <c r="N50" s="73"/>
      <c r="O50" s="73">
        <f t="shared" si="4"/>
        <v>381.18436538461538</v>
      </c>
      <c r="P50" s="73">
        <v>183</v>
      </c>
      <c r="Q50" s="73">
        <v>0</v>
      </c>
      <c r="R50" s="73">
        <v>0</v>
      </c>
      <c r="S50" s="73">
        <f t="shared" si="0"/>
        <v>9148.1794846153825</v>
      </c>
      <c r="T50" s="73">
        <f t="shared" si="1"/>
        <v>35436.756407692301</v>
      </c>
      <c r="U50" s="73"/>
      <c r="V50" s="73"/>
      <c r="W50" s="73"/>
      <c r="X50" s="73"/>
      <c r="Y50" s="76"/>
      <c r="Z50" s="76">
        <f t="shared" si="5"/>
        <v>0</v>
      </c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</row>
    <row r="51" spans="1:55" s="77" customFormat="1">
      <c r="A51" s="73">
        <v>33</v>
      </c>
      <c r="B51" s="73" t="s">
        <v>190</v>
      </c>
      <c r="C51" s="73" t="s">
        <v>191</v>
      </c>
      <c r="D51" s="73" t="s">
        <v>192</v>
      </c>
      <c r="E51" s="74" t="s">
        <v>193</v>
      </c>
      <c r="F51" s="73">
        <v>66662</v>
      </c>
      <c r="G51" s="73"/>
      <c r="H51" s="73"/>
      <c r="I51" s="75">
        <v>46166</v>
      </c>
      <c r="J51" s="73"/>
      <c r="K51" s="73">
        <f t="shared" si="2"/>
        <v>66662</v>
      </c>
      <c r="L51" s="73">
        <f t="shared" si="3"/>
        <v>20511.897399999998</v>
      </c>
      <c r="M51" s="73"/>
      <c r="N51" s="73"/>
      <c r="O51" s="73">
        <f t="shared" si="4"/>
        <v>966.59900000000005</v>
      </c>
      <c r="P51" s="73">
        <v>183</v>
      </c>
      <c r="Q51" s="73">
        <v>0</v>
      </c>
      <c r="R51" s="73">
        <v>0</v>
      </c>
      <c r="S51" s="73">
        <f t="shared" si="0"/>
        <v>21661.496399999996</v>
      </c>
      <c r="T51" s="73">
        <f t="shared" si="1"/>
        <v>88323.496400000004</v>
      </c>
      <c r="U51" s="73">
        <v>20431</v>
      </c>
      <c r="V51" s="73">
        <v>23780.02</v>
      </c>
      <c r="W51" s="73"/>
      <c r="X51" s="73"/>
      <c r="Y51" s="76"/>
      <c r="Z51" s="76">
        <f t="shared" si="5"/>
        <v>44211.020000000004</v>
      </c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</row>
    <row r="52" spans="1:55" s="77" customFormat="1">
      <c r="A52" s="73">
        <v>34</v>
      </c>
      <c r="B52" s="78" t="s">
        <v>194</v>
      </c>
      <c r="C52" s="78" t="s">
        <v>195</v>
      </c>
      <c r="D52" s="78" t="s">
        <v>196</v>
      </c>
      <c r="E52" s="79" t="s">
        <v>197</v>
      </c>
      <c r="F52" s="78">
        <v>28491</v>
      </c>
      <c r="G52" s="78"/>
      <c r="H52" s="78"/>
      <c r="I52" s="80"/>
      <c r="J52" s="78"/>
      <c r="K52" s="73">
        <f t="shared" si="2"/>
        <v>28491</v>
      </c>
      <c r="L52" s="73">
        <f t="shared" si="3"/>
        <v>8766.680699999999</v>
      </c>
      <c r="M52" s="73">
        <v>495</v>
      </c>
      <c r="N52" s="73"/>
      <c r="O52" s="73">
        <f t="shared" si="4"/>
        <v>413.11950000000002</v>
      </c>
      <c r="P52" s="73">
        <v>183</v>
      </c>
      <c r="Q52" s="73">
        <v>0</v>
      </c>
      <c r="R52" s="73">
        <v>0</v>
      </c>
      <c r="S52" s="73">
        <f t="shared" si="0"/>
        <v>9857.8001999999997</v>
      </c>
      <c r="T52" s="73">
        <f t="shared" si="1"/>
        <v>38348.800199999998</v>
      </c>
      <c r="U52" s="78">
        <v>9967</v>
      </c>
      <c r="V52" s="78">
        <v>8728.44</v>
      </c>
      <c r="W52" s="73"/>
      <c r="X52" s="73"/>
      <c r="Y52" s="76"/>
      <c r="Z52" s="76">
        <f t="shared" si="5"/>
        <v>18695.440000000002</v>
      </c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</row>
    <row r="53" spans="1:55" s="77" customFormat="1">
      <c r="A53" s="78">
        <v>35</v>
      </c>
      <c r="B53" s="78" t="s">
        <v>198</v>
      </c>
      <c r="C53" s="78" t="s">
        <v>199</v>
      </c>
      <c r="D53" s="78" t="s">
        <v>200</v>
      </c>
      <c r="E53" s="79" t="s">
        <v>201</v>
      </c>
      <c r="F53" s="78">
        <v>37875</v>
      </c>
      <c r="G53" s="78"/>
      <c r="H53" s="78"/>
      <c r="I53" s="80"/>
      <c r="J53" s="78"/>
      <c r="K53" s="78">
        <f t="shared" si="2"/>
        <v>37875</v>
      </c>
      <c r="L53" s="78">
        <f t="shared" si="3"/>
        <v>11654.137499999999</v>
      </c>
      <c r="M53" s="78">
        <v>495</v>
      </c>
      <c r="N53" s="78"/>
      <c r="O53" s="78">
        <f t="shared" si="4"/>
        <v>549.1875</v>
      </c>
      <c r="P53" s="78">
        <v>183</v>
      </c>
      <c r="Q53" s="78">
        <v>9339.4599999999991</v>
      </c>
      <c r="R53" s="78">
        <v>529.62</v>
      </c>
      <c r="S53" s="78">
        <f t="shared" si="0"/>
        <v>22750.404999999995</v>
      </c>
      <c r="T53" s="78">
        <f t="shared" si="1"/>
        <v>60625.404999999999</v>
      </c>
      <c r="U53" s="78">
        <v>14176</v>
      </c>
      <c r="V53" s="78">
        <v>15368.13</v>
      </c>
      <c r="W53" s="73"/>
      <c r="X53" s="73"/>
      <c r="Y53" s="76"/>
      <c r="Z53" s="76">
        <f t="shared" si="5"/>
        <v>29544.129999999997</v>
      </c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</row>
    <row r="54" spans="1:55" s="77" customFormat="1">
      <c r="A54" s="73">
        <v>36</v>
      </c>
      <c r="B54" s="78" t="s">
        <v>202</v>
      </c>
      <c r="C54" s="78" t="s">
        <v>203</v>
      </c>
      <c r="D54" s="78" t="s">
        <v>204</v>
      </c>
      <c r="E54" s="79" t="s">
        <v>197</v>
      </c>
      <c r="F54" s="78">
        <v>28491</v>
      </c>
      <c r="G54" s="73"/>
      <c r="H54" s="73"/>
      <c r="I54" s="75"/>
      <c r="J54" s="73"/>
      <c r="K54" s="73">
        <f t="shared" si="2"/>
        <v>28491</v>
      </c>
      <c r="L54" s="73">
        <f t="shared" si="3"/>
        <v>8766.680699999999</v>
      </c>
      <c r="M54" s="73">
        <v>495</v>
      </c>
      <c r="N54" s="73"/>
      <c r="O54" s="73">
        <f t="shared" si="4"/>
        <v>413.11950000000002</v>
      </c>
      <c r="P54" s="73">
        <v>183</v>
      </c>
      <c r="Q54" s="73">
        <v>5708.82</v>
      </c>
      <c r="R54" s="73">
        <v>328.38</v>
      </c>
      <c r="S54" s="73">
        <f t="shared" si="0"/>
        <v>15895.000199999999</v>
      </c>
      <c r="T54" s="73">
        <f t="shared" si="1"/>
        <v>44386.000199999995</v>
      </c>
      <c r="U54" s="78"/>
      <c r="V54" s="78"/>
      <c r="W54" s="73"/>
      <c r="X54" s="73"/>
      <c r="Y54" s="76"/>
      <c r="Z54" s="76">
        <f t="shared" si="5"/>
        <v>0</v>
      </c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</row>
    <row r="55" spans="1:55" s="77" customFormat="1">
      <c r="A55" s="73">
        <v>37</v>
      </c>
      <c r="B55" s="73" t="s">
        <v>205</v>
      </c>
      <c r="C55" s="73" t="s">
        <v>206</v>
      </c>
      <c r="D55" s="73" t="s">
        <v>207</v>
      </c>
      <c r="E55" s="74" t="s">
        <v>208</v>
      </c>
      <c r="F55" s="73">
        <v>96635</v>
      </c>
      <c r="G55" s="73"/>
      <c r="H55" s="73"/>
      <c r="I55" s="75">
        <v>45984</v>
      </c>
      <c r="J55" s="73"/>
      <c r="K55" s="73">
        <f t="shared" si="2"/>
        <v>96635</v>
      </c>
      <c r="L55" s="73">
        <f t="shared" si="3"/>
        <v>29734.589499999998</v>
      </c>
      <c r="M55" s="73"/>
      <c r="N55" s="73"/>
      <c r="O55" s="73">
        <f t="shared" si="4"/>
        <v>1401.2075</v>
      </c>
      <c r="P55" s="73">
        <v>183</v>
      </c>
      <c r="Q55" s="73">
        <v>6928.48</v>
      </c>
      <c r="R55" s="73">
        <v>529.62</v>
      </c>
      <c r="S55" s="73">
        <f t="shared" si="0"/>
        <v>38776.897000000004</v>
      </c>
      <c r="T55" s="73">
        <f t="shared" si="1"/>
        <v>135411.897</v>
      </c>
      <c r="U55" s="73">
        <v>31712</v>
      </c>
      <c r="V55" s="73">
        <v>36840.93</v>
      </c>
      <c r="W55" s="73"/>
      <c r="X55" s="73"/>
      <c r="Y55" s="76"/>
      <c r="Z55" s="76">
        <f t="shared" si="5"/>
        <v>68552.929999999993</v>
      </c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</row>
    <row r="56" spans="1:55" s="77" customFormat="1">
      <c r="A56" s="73">
        <v>38</v>
      </c>
      <c r="B56" s="73" t="s">
        <v>209</v>
      </c>
      <c r="C56" s="73" t="s">
        <v>210</v>
      </c>
      <c r="D56" s="73" t="s">
        <v>211</v>
      </c>
      <c r="E56" s="74" t="s">
        <v>212</v>
      </c>
      <c r="F56" s="73">
        <v>71381.97</v>
      </c>
      <c r="G56" s="73"/>
      <c r="H56" s="73"/>
      <c r="I56" s="75">
        <v>46183</v>
      </c>
      <c r="J56" s="73"/>
      <c r="K56" s="73">
        <f t="shared" si="2"/>
        <v>71381.97</v>
      </c>
      <c r="L56" s="73">
        <f t="shared" si="3"/>
        <v>21964.232168999999</v>
      </c>
      <c r="M56" s="73">
        <v>495</v>
      </c>
      <c r="N56" s="73"/>
      <c r="O56" s="73">
        <f t="shared" si="4"/>
        <v>1035.0385650000001</v>
      </c>
      <c r="P56" s="73">
        <v>183</v>
      </c>
      <c r="Q56" s="73">
        <v>3993.86</v>
      </c>
      <c r="R56" s="73">
        <v>297.95999999999998</v>
      </c>
      <c r="S56" s="73">
        <f t="shared" si="0"/>
        <v>27969.090733999998</v>
      </c>
      <c r="T56" s="73">
        <f t="shared" si="1"/>
        <v>99351.060733999999</v>
      </c>
      <c r="U56" s="73">
        <v>22456</v>
      </c>
      <c r="V56" s="73">
        <v>27021.88</v>
      </c>
      <c r="W56" s="73"/>
      <c r="X56" s="73"/>
      <c r="Y56" s="76"/>
      <c r="Z56" s="76">
        <f t="shared" si="5"/>
        <v>49477.880000000005</v>
      </c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</row>
    <row r="57" spans="1:55" s="77" customFormat="1">
      <c r="A57" s="73">
        <v>39</v>
      </c>
      <c r="B57" s="73" t="s">
        <v>213</v>
      </c>
      <c r="C57" s="73" t="s">
        <v>214</v>
      </c>
      <c r="D57" s="73" t="s">
        <v>215</v>
      </c>
      <c r="E57" s="74" t="s">
        <v>216</v>
      </c>
      <c r="F57" s="73">
        <v>59436</v>
      </c>
      <c r="G57" s="73"/>
      <c r="H57" s="73"/>
      <c r="I57" s="75">
        <v>46327</v>
      </c>
      <c r="J57" s="73"/>
      <c r="K57" s="73">
        <f t="shared" si="2"/>
        <v>59436</v>
      </c>
      <c r="L57" s="73">
        <f t="shared" si="3"/>
        <v>18288.457199999997</v>
      </c>
      <c r="M57" s="73"/>
      <c r="N57" s="73"/>
      <c r="O57" s="73">
        <f t="shared" si="4"/>
        <v>861.822</v>
      </c>
      <c r="P57" s="73">
        <v>183</v>
      </c>
      <c r="Q57" s="73">
        <v>9339.4599999999991</v>
      </c>
      <c r="R57" s="73">
        <v>529.62</v>
      </c>
      <c r="S57" s="73">
        <f t="shared" si="0"/>
        <v>29202.359199999995</v>
      </c>
      <c r="T57" s="73">
        <f t="shared" si="1"/>
        <v>88638.359199999992</v>
      </c>
      <c r="U57" s="73">
        <v>20628</v>
      </c>
      <c r="V57" s="73">
        <v>24389.82</v>
      </c>
      <c r="W57" s="73"/>
      <c r="X57" s="73"/>
      <c r="Y57" s="76"/>
      <c r="Z57" s="76">
        <f t="shared" si="5"/>
        <v>45017.82</v>
      </c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6"/>
      <c r="BB57" s="76"/>
      <c r="BC57" s="76"/>
    </row>
    <row r="58" spans="1:55" s="77" customFormat="1">
      <c r="A58" s="73">
        <v>40</v>
      </c>
      <c r="B58" s="73" t="s">
        <v>217</v>
      </c>
      <c r="C58" s="73" t="s">
        <v>218</v>
      </c>
      <c r="D58" s="73" t="s">
        <v>219</v>
      </c>
      <c r="E58" s="74" t="s">
        <v>220</v>
      </c>
      <c r="F58" s="73">
        <v>51380</v>
      </c>
      <c r="G58" s="73"/>
      <c r="H58" s="73"/>
      <c r="I58" s="75">
        <v>46322</v>
      </c>
      <c r="J58" s="73"/>
      <c r="K58" s="73">
        <f t="shared" si="2"/>
        <v>51380</v>
      </c>
      <c r="L58" s="73">
        <f t="shared" si="3"/>
        <v>15809.625999999998</v>
      </c>
      <c r="M58" s="73"/>
      <c r="N58" s="73"/>
      <c r="O58" s="73">
        <f t="shared" si="4"/>
        <v>745.01</v>
      </c>
      <c r="P58" s="73">
        <v>183</v>
      </c>
      <c r="Q58" s="73">
        <v>0</v>
      </c>
      <c r="R58" s="73">
        <v>0</v>
      </c>
      <c r="S58" s="73">
        <f t="shared" si="0"/>
        <v>16737.635999999999</v>
      </c>
      <c r="T58" s="73">
        <f t="shared" si="1"/>
        <v>68117.635999999999</v>
      </c>
      <c r="U58" s="73">
        <v>15230</v>
      </c>
      <c r="V58" s="73">
        <v>18619.259999999998</v>
      </c>
      <c r="W58" s="73"/>
      <c r="X58" s="73"/>
      <c r="Y58" s="76"/>
      <c r="Z58" s="76">
        <f t="shared" si="5"/>
        <v>33849.259999999995</v>
      </c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6"/>
      <c r="AW58" s="76"/>
      <c r="AX58" s="76"/>
      <c r="AY58" s="76"/>
      <c r="AZ58" s="76"/>
      <c r="BA58" s="76"/>
      <c r="BB58" s="76"/>
      <c r="BC58" s="76"/>
    </row>
    <row r="59" spans="1:55" s="77" customFormat="1">
      <c r="A59" s="73">
        <v>41</v>
      </c>
      <c r="B59" s="73" t="s">
        <v>221</v>
      </c>
      <c r="C59" s="73" t="s">
        <v>187</v>
      </c>
      <c r="D59" s="73" t="s">
        <v>222</v>
      </c>
      <c r="E59" s="74" t="s">
        <v>223</v>
      </c>
      <c r="F59" s="73">
        <v>24298</v>
      </c>
      <c r="G59" s="73"/>
      <c r="H59" s="73"/>
      <c r="I59" s="75"/>
      <c r="J59" s="73"/>
      <c r="K59" s="73">
        <f t="shared" si="2"/>
        <v>24298</v>
      </c>
      <c r="L59" s="73">
        <f t="shared" si="3"/>
        <v>7476.4945999999991</v>
      </c>
      <c r="M59" s="73">
        <v>495</v>
      </c>
      <c r="N59" s="73"/>
      <c r="O59" s="73">
        <f t="shared" si="4"/>
        <v>352.32100000000003</v>
      </c>
      <c r="P59" s="73">
        <v>183</v>
      </c>
      <c r="Q59" s="73">
        <v>3993.86</v>
      </c>
      <c r="R59" s="73">
        <v>529.62</v>
      </c>
      <c r="S59" s="73">
        <f t="shared" si="0"/>
        <v>13030.295600000001</v>
      </c>
      <c r="T59" s="73">
        <f t="shared" si="1"/>
        <v>37328.295599999998</v>
      </c>
      <c r="U59" s="73">
        <v>4979.2299999999996</v>
      </c>
      <c r="V59" s="73">
        <v>8824.02</v>
      </c>
      <c r="W59" s="73"/>
      <c r="X59" s="73"/>
      <c r="Y59" s="76"/>
      <c r="Z59" s="76">
        <f t="shared" si="5"/>
        <v>13803.25</v>
      </c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6"/>
      <c r="AZ59" s="76"/>
      <c r="BA59" s="76"/>
      <c r="BB59" s="76"/>
      <c r="BC59" s="76"/>
    </row>
    <row r="60" spans="1:55" s="77" customFormat="1">
      <c r="A60" s="73">
        <v>42</v>
      </c>
      <c r="B60" s="73" t="s">
        <v>224</v>
      </c>
      <c r="C60" s="73" t="s">
        <v>225</v>
      </c>
      <c r="D60" s="73" t="s">
        <v>226</v>
      </c>
      <c r="E60" s="74" t="s">
        <v>227</v>
      </c>
      <c r="F60" s="73">
        <v>64612</v>
      </c>
      <c r="G60" s="73"/>
      <c r="H60" s="73"/>
      <c r="I60" s="75">
        <v>46012</v>
      </c>
      <c r="J60" s="73"/>
      <c r="K60" s="73">
        <f t="shared" si="2"/>
        <v>64612</v>
      </c>
      <c r="L60" s="73">
        <f t="shared" si="3"/>
        <v>19881.112399999998</v>
      </c>
      <c r="M60" s="73"/>
      <c r="N60" s="73"/>
      <c r="O60" s="73">
        <f t="shared" si="4"/>
        <v>936.87400000000002</v>
      </c>
      <c r="P60" s="73">
        <v>183</v>
      </c>
      <c r="Q60" s="73">
        <v>6116.24</v>
      </c>
      <c r="R60" s="73">
        <v>297.95999999999998</v>
      </c>
      <c r="S60" s="73">
        <f t="shared" si="0"/>
        <v>27415.186399999999</v>
      </c>
      <c r="T60" s="73">
        <f t="shared" si="1"/>
        <v>92027.186400000006</v>
      </c>
      <c r="U60" s="73">
        <v>21888</v>
      </c>
      <c r="V60" s="73">
        <v>25432.26</v>
      </c>
      <c r="W60" s="73"/>
      <c r="X60" s="73"/>
      <c r="Y60" s="76"/>
      <c r="Z60" s="76">
        <f t="shared" si="5"/>
        <v>47320.259999999995</v>
      </c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AZ60" s="76"/>
      <c r="BA60" s="76"/>
      <c r="BB60" s="76"/>
      <c r="BC60" s="76"/>
    </row>
    <row r="61" spans="1:55" s="77" customFormat="1">
      <c r="A61" s="73">
        <v>43</v>
      </c>
      <c r="B61" s="78" t="s">
        <v>228</v>
      </c>
      <c r="C61" s="78" t="s">
        <v>229</v>
      </c>
      <c r="D61" s="78" t="s">
        <v>230</v>
      </c>
      <c r="E61" s="79" t="s">
        <v>231</v>
      </c>
      <c r="F61" s="78">
        <v>33845</v>
      </c>
      <c r="G61" s="78"/>
      <c r="H61" s="78"/>
      <c r="I61" s="80">
        <v>45684</v>
      </c>
      <c r="J61" s="78">
        <f>((42346-F61)/26)*17</f>
        <v>5558.3461538461534</v>
      </c>
      <c r="K61" s="73">
        <f t="shared" si="2"/>
        <v>39403.346153846156</v>
      </c>
      <c r="L61" s="73">
        <f t="shared" si="3"/>
        <v>12124.409611538462</v>
      </c>
      <c r="M61" s="73">
        <v>495</v>
      </c>
      <c r="N61" s="73"/>
      <c r="O61" s="73">
        <f t="shared" si="4"/>
        <v>571.34851923076928</v>
      </c>
      <c r="P61" s="73">
        <v>183</v>
      </c>
      <c r="Q61" s="73">
        <v>5708.82</v>
      </c>
      <c r="R61" s="73">
        <v>328.38</v>
      </c>
      <c r="S61" s="73">
        <f t="shared" si="0"/>
        <v>19410.958130769232</v>
      </c>
      <c r="T61" s="73">
        <f t="shared" si="1"/>
        <v>58814.304284615384</v>
      </c>
      <c r="U61" s="73">
        <v>13908</v>
      </c>
      <c r="V61" s="73">
        <v>11862</v>
      </c>
      <c r="W61" s="73"/>
      <c r="X61" s="73"/>
      <c r="Y61" s="76"/>
      <c r="Z61" s="76">
        <f t="shared" si="5"/>
        <v>25770</v>
      </c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6"/>
      <c r="AZ61" s="76"/>
      <c r="BA61" s="76"/>
      <c r="BB61" s="76"/>
      <c r="BC61" s="76"/>
    </row>
    <row r="62" spans="1:55" s="77" customFormat="1">
      <c r="A62" s="73">
        <v>44</v>
      </c>
      <c r="B62" s="78" t="s">
        <v>232</v>
      </c>
      <c r="C62" s="78" t="s">
        <v>233</v>
      </c>
      <c r="D62" s="78" t="s">
        <v>234</v>
      </c>
      <c r="E62" s="79" t="s">
        <v>91</v>
      </c>
      <c r="F62" s="78">
        <v>55837</v>
      </c>
      <c r="G62" s="78"/>
      <c r="H62" s="78"/>
      <c r="I62" s="80">
        <v>45815</v>
      </c>
      <c r="J62" s="78">
        <f>((57609-F62)/26)*9</f>
        <v>613.38461538461547</v>
      </c>
      <c r="K62" s="73">
        <f t="shared" si="2"/>
        <v>56450.384615384617</v>
      </c>
      <c r="L62" s="73">
        <f t="shared" si="3"/>
        <v>17369.783346153847</v>
      </c>
      <c r="M62" s="73">
        <v>495</v>
      </c>
      <c r="N62" s="73"/>
      <c r="O62" s="73">
        <f t="shared" si="4"/>
        <v>818.53057692307698</v>
      </c>
      <c r="P62" s="73">
        <v>183</v>
      </c>
      <c r="Q62" s="73">
        <v>11230.96</v>
      </c>
      <c r="R62" s="73">
        <v>393.12</v>
      </c>
      <c r="S62" s="73">
        <f t="shared" si="0"/>
        <v>30490.393923076921</v>
      </c>
      <c r="T62" s="73">
        <f t="shared" si="1"/>
        <v>86940.778538461542</v>
      </c>
      <c r="U62" s="73">
        <v>20047</v>
      </c>
      <c r="V62" s="73">
        <v>22431.23</v>
      </c>
      <c r="W62" s="73"/>
      <c r="X62" s="73"/>
      <c r="Y62" s="76"/>
      <c r="Z62" s="76">
        <f t="shared" si="5"/>
        <v>42478.229999999996</v>
      </c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AZ62" s="76"/>
      <c r="BA62" s="76"/>
      <c r="BB62" s="76"/>
      <c r="BC62" s="76"/>
    </row>
    <row r="63" spans="1:55" s="77" customFormat="1">
      <c r="A63" s="73">
        <v>45</v>
      </c>
      <c r="B63" s="73" t="s">
        <v>235</v>
      </c>
      <c r="C63" s="73" t="s">
        <v>233</v>
      </c>
      <c r="D63" s="73" t="s">
        <v>236</v>
      </c>
      <c r="E63" s="74" t="s">
        <v>237</v>
      </c>
      <c r="F63" s="73">
        <v>49279</v>
      </c>
      <c r="G63" s="73"/>
      <c r="H63" s="73"/>
      <c r="I63" s="75"/>
      <c r="J63" s="73"/>
      <c r="K63" s="73">
        <f t="shared" si="2"/>
        <v>49279</v>
      </c>
      <c r="L63" s="73">
        <f t="shared" si="3"/>
        <v>15163.148299999999</v>
      </c>
      <c r="M63" s="73">
        <v>495</v>
      </c>
      <c r="N63" s="73"/>
      <c r="O63" s="73">
        <f t="shared" si="4"/>
        <v>714.54550000000006</v>
      </c>
      <c r="P63" s="73">
        <v>183</v>
      </c>
      <c r="Q63" s="73">
        <v>3993.86</v>
      </c>
      <c r="R63" s="73">
        <v>297.95999999999998</v>
      </c>
      <c r="S63" s="73">
        <f t="shared" si="0"/>
        <v>20847.513800000001</v>
      </c>
      <c r="T63" s="73">
        <f t="shared" si="1"/>
        <v>70126.513800000001</v>
      </c>
      <c r="U63" s="73">
        <v>6702</v>
      </c>
      <c r="V63" s="73">
        <v>17452.82</v>
      </c>
      <c r="W63" s="73"/>
      <c r="X63" s="73"/>
      <c r="Y63" s="76"/>
      <c r="Z63" s="76">
        <f t="shared" si="5"/>
        <v>24154.82</v>
      </c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</row>
    <row r="64" spans="1:55" s="77" customFormat="1">
      <c r="A64" s="73">
        <v>46</v>
      </c>
      <c r="B64" s="73" t="s">
        <v>238</v>
      </c>
      <c r="C64" s="73" t="s">
        <v>233</v>
      </c>
      <c r="D64" s="73" t="s">
        <v>239</v>
      </c>
      <c r="E64" s="74" t="s">
        <v>240</v>
      </c>
      <c r="F64" s="73">
        <v>50843</v>
      </c>
      <c r="G64" s="73"/>
      <c r="H64" s="73"/>
      <c r="I64" s="75">
        <v>46061</v>
      </c>
      <c r="J64" s="73"/>
      <c r="K64" s="73">
        <f t="shared" si="2"/>
        <v>50843</v>
      </c>
      <c r="L64" s="73">
        <f t="shared" si="3"/>
        <v>15644.391099999999</v>
      </c>
      <c r="M64" s="73">
        <v>495</v>
      </c>
      <c r="N64" s="73"/>
      <c r="O64" s="73">
        <f t="shared" si="4"/>
        <v>737.22350000000006</v>
      </c>
      <c r="P64" s="73">
        <v>183</v>
      </c>
      <c r="Q64" s="73">
        <v>0</v>
      </c>
      <c r="R64" s="73">
        <v>0</v>
      </c>
      <c r="S64" s="73">
        <f t="shared" si="0"/>
        <v>17059.614600000001</v>
      </c>
      <c r="T64" s="73">
        <f t="shared" si="1"/>
        <v>67902.614600000001</v>
      </c>
      <c r="U64" s="73">
        <v>15466</v>
      </c>
      <c r="V64" s="73">
        <v>18158.080000000002</v>
      </c>
      <c r="W64" s="73"/>
      <c r="X64" s="73"/>
      <c r="Y64" s="76"/>
      <c r="Z64" s="76">
        <f t="shared" si="5"/>
        <v>33624.080000000002</v>
      </c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</row>
    <row r="65" spans="1:55" s="77" customFormat="1">
      <c r="A65" s="73">
        <v>47</v>
      </c>
      <c r="B65" s="78" t="s">
        <v>241</v>
      </c>
      <c r="C65" s="78" t="s">
        <v>233</v>
      </c>
      <c r="D65" s="78" t="s">
        <v>242</v>
      </c>
      <c r="E65" s="79" t="s">
        <v>237</v>
      </c>
      <c r="F65" s="78">
        <v>49279</v>
      </c>
      <c r="G65" s="78"/>
      <c r="H65" s="78"/>
      <c r="I65" s="80">
        <v>45665</v>
      </c>
      <c r="J65" s="78">
        <f>((50843-F65)/26)*19</f>
        <v>1142.9230769230769</v>
      </c>
      <c r="K65" s="73">
        <f t="shared" si="2"/>
        <v>50421.923076923078</v>
      </c>
      <c r="L65" s="73">
        <f t="shared" si="3"/>
        <v>15514.825730769229</v>
      </c>
      <c r="M65" s="73">
        <v>495</v>
      </c>
      <c r="N65" s="73"/>
      <c r="O65" s="73">
        <f t="shared" si="4"/>
        <v>731.1178846153847</v>
      </c>
      <c r="P65" s="73">
        <v>183</v>
      </c>
      <c r="Q65" s="73">
        <v>9595.2999999999993</v>
      </c>
      <c r="R65" s="73">
        <v>328.38</v>
      </c>
      <c r="S65" s="73">
        <f t="shared" si="0"/>
        <v>26847.623615384615</v>
      </c>
      <c r="T65" s="73">
        <f t="shared" si="1"/>
        <v>77269.546692307689</v>
      </c>
      <c r="U65" s="73">
        <v>18257</v>
      </c>
      <c r="V65" s="73">
        <v>21310.38</v>
      </c>
      <c r="W65" s="73"/>
      <c r="X65" s="73"/>
      <c r="Y65" s="76"/>
      <c r="Z65" s="76">
        <f t="shared" si="5"/>
        <v>39567.380000000005</v>
      </c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</row>
    <row r="66" spans="1:55" s="77" customFormat="1">
      <c r="A66" s="73">
        <v>48</v>
      </c>
      <c r="B66" s="73" t="s">
        <v>243</v>
      </c>
      <c r="C66" s="73" t="s">
        <v>233</v>
      </c>
      <c r="D66" s="73" t="s">
        <v>244</v>
      </c>
      <c r="E66" s="74" t="s">
        <v>240</v>
      </c>
      <c r="F66" s="73">
        <v>50843</v>
      </c>
      <c r="G66" s="73"/>
      <c r="H66" s="73"/>
      <c r="I66" s="75">
        <v>45962</v>
      </c>
      <c r="J66" s="73"/>
      <c r="K66" s="73">
        <f t="shared" si="2"/>
        <v>50843</v>
      </c>
      <c r="L66" s="73">
        <f t="shared" si="3"/>
        <v>15644.391099999999</v>
      </c>
      <c r="M66" s="73">
        <v>495</v>
      </c>
      <c r="N66" s="73"/>
      <c r="O66" s="73">
        <f t="shared" si="4"/>
        <v>737.22350000000006</v>
      </c>
      <c r="P66" s="73">
        <v>183</v>
      </c>
      <c r="Q66" s="73">
        <v>0</v>
      </c>
      <c r="R66" s="73">
        <v>0</v>
      </c>
      <c r="S66" s="73">
        <f t="shared" si="0"/>
        <v>17059.614600000001</v>
      </c>
      <c r="T66" s="73">
        <f t="shared" si="1"/>
        <v>67902.614600000001</v>
      </c>
      <c r="U66" s="73">
        <v>15692</v>
      </c>
      <c r="V66" s="73">
        <v>18269.580000000002</v>
      </c>
      <c r="W66" s="73"/>
      <c r="X66" s="73"/>
      <c r="Y66" s="76"/>
      <c r="Z66" s="76">
        <f t="shared" si="5"/>
        <v>33961.58</v>
      </c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</row>
    <row r="67" spans="1:55" s="77" customFormat="1">
      <c r="A67" s="73">
        <v>49</v>
      </c>
      <c r="B67" s="73" t="s">
        <v>245</v>
      </c>
      <c r="C67" s="73" t="s">
        <v>233</v>
      </c>
      <c r="D67" s="73" t="s">
        <v>246</v>
      </c>
      <c r="E67" s="74" t="s">
        <v>155</v>
      </c>
      <c r="F67" s="73">
        <v>52456</v>
      </c>
      <c r="G67" s="73"/>
      <c r="H67" s="73"/>
      <c r="I67" s="75">
        <v>46211</v>
      </c>
      <c r="J67" s="73"/>
      <c r="K67" s="73">
        <f t="shared" si="2"/>
        <v>52456</v>
      </c>
      <c r="L67" s="73">
        <f t="shared" si="3"/>
        <v>16140.711199999998</v>
      </c>
      <c r="M67" s="73">
        <v>495</v>
      </c>
      <c r="N67" s="73"/>
      <c r="O67" s="73">
        <f t="shared" si="4"/>
        <v>760.61200000000008</v>
      </c>
      <c r="P67" s="73">
        <v>183</v>
      </c>
      <c r="Q67" s="73">
        <v>5708.82</v>
      </c>
      <c r="R67" s="73">
        <v>328.38</v>
      </c>
      <c r="S67" s="73">
        <f t="shared" si="0"/>
        <v>23616.5232</v>
      </c>
      <c r="T67" s="73">
        <f t="shared" si="1"/>
        <v>76072.523199999996</v>
      </c>
      <c r="U67" s="73">
        <v>18819</v>
      </c>
      <c r="V67" s="73">
        <v>21885.919999999998</v>
      </c>
      <c r="W67" s="73"/>
      <c r="X67" s="73"/>
      <c r="Y67" s="76"/>
      <c r="Z67" s="76">
        <f t="shared" si="5"/>
        <v>40704.92</v>
      </c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</row>
    <row r="68" spans="1:55" s="81" customFormat="1">
      <c r="A68" s="73">
        <v>50</v>
      </c>
      <c r="B68" s="73" t="s">
        <v>247</v>
      </c>
      <c r="C68" s="73" t="s">
        <v>248</v>
      </c>
      <c r="D68" s="73" t="s">
        <v>249</v>
      </c>
      <c r="E68" s="74" t="s">
        <v>250</v>
      </c>
      <c r="F68" s="73">
        <v>32609</v>
      </c>
      <c r="G68" s="73"/>
      <c r="H68" s="73"/>
      <c r="I68" s="75"/>
      <c r="J68" s="73"/>
      <c r="K68" s="73">
        <f t="shared" si="2"/>
        <v>32609</v>
      </c>
      <c r="L68" s="73">
        <f t="shared" si="3"/>
        <v>10033.789299999999</v>
      </c>
      <c r="M68" s="73"/>
      <c r="N68" s="73"/>
      <c r="O68" s="73">
        <f t="shared" si="4"/>
        <v>472.83050000000003</v>
      </c>
      <c r="P68" s="73"/>
      <c r="Q68" s="73"/>
      <c r="R68" s="73"/>
      <c r="S68" s="73">
        <f t="shared" si="0"/>
        <v>10506.619799999999</v>
      </c>
      <c r="T68" s="73">
        <f t="shared" si="1"/>
        <v>43115.6198</v>
      </c>
      <c r="U68" s="78">
        <v>8842</v>
      </c>
      <c r="V68" s="78">
        <v>13175.4</v>
      </c>
      <c r="W68" s="73"/>
      <c r="X68" s="73"/>
      <c r="Y68" s="76"/>
      <c r="Z68" s="76">
        <f t="shared" si="5"/>
        <v>22017.4</v>
      </c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  <c r="AQ68" s="76"/>
      <c r="AR68" s="76"/>
      <c r="AS68" s="76"/>
      <c r="AT68" s="76"/>
      <c r="AU68" s="76"/>
      <c r="AV68" s="76"/>
      <c r="AW68" s="76"/>
      <c r="AX68" s="76"/>
      <c r="AY68" s="76"/>
      <c r="AZ68" s="76"/>
      <c r="BA68" s="76"/>
      <c r="BB68" s="76"/>
      <c r="BC68" s="76"/>
    </row>
    <row r="69" spans="1:55" s="77" customFormat="1">
      <c r="A69" s="73">
        <v>51</v>
      </c>
      <c r="B69" s="73" t="s">
        <v>251</v>
      </c>
      <c r="C69" s="73" t="s">
        <v>248</v>
      </c>
      <c r="D69" s="73" t="s">
        <v>252</v>
      </c>
      <c r="E69" s="74" t="s">
        <v>250</v>
      </c>
      <c r="F69" s="73">
        <v>32609</v>
      </c>
      <c r="G69" s="73"/>
      <c r="H69" s="73"/>
      <c r="I69" s="75">
        <v>45974</v>
      </c>
      <c r="J69" s="73"/>
      <c r="K69" s="73">
        <f t="shared" si="2"/>
        <v>32609</v>
      </c>
      <c r="L69" s="73">
        <f t="shared" si="3"/>
        <v>10033.789299999999</v>
      </c>
      <c r="M69" s="73">
        <v>495</v>
      </c>
      <c r="N69" s="73"/>
      <c r="O69" s="73">
        <f t="shared" si="4"/>
        <v>472.83050000000003</v>
      </c>
      <c r="P69" s="73">
        <v>183</v>
      </c>
      <c r="Q69" s="73">
        <v>0</v>
      </c>
      <c r="R69" s="73">
        <v>0</v>
      </c>
      <c r="S69" s="73">
        <f t="shared" si="0"/>
        <v>11184.619799999999</v>
      </c>
      <c r="T69" s="73">
        <f t="shared" si="1"/>
        <v>43793.6198</v>
      </c>
      <c r="U69" s="73">
        <v>14252</v>
      </c>
      <c r="V69" s="73">
        <v>10736.44</v>
      </c>
      <c r="W69" s="73"/>
      <c r="X69" s="73"/>
      <c r="Y69" s="76"/>
      <c r="Z69" s="76">
        <f t="shared" si="5"/>
        <v>24988.440000000002</v>
      </c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AZ69" s="76"/>
      <c r="BA69" s="76"/>
      <c r="BB69" s="76"/>
      <c r="BC69" s="76"/>
    </row>
    <row r="70" spans="1:55" s="81" customFormat="1">
      <c r="A70" s="73">
        <v>52</v>
      </c>
      <c r="B70" s="78" t="s">
        <v>253</v>
      </c>
      <c r="C70" s="78" t="s">
        <v>254</v>
      </c>
      <c r="D70" s="78" t="s">
        <v>255</v>
      </c>
      <c r="E70" s="79" t="s">
        <v>256</v>
      </c>
      <c r="F70" s="78">
        <v>35160</v>
      </c>
      <c r="G70" s="78"/>
      <c r="H70" s="78"/>
      <c r="I70" s="80">
        <v>45686</v>
      </c>
      <c r="J70" s="78">
        <f>((36492-F70)/26)*17</f>
        <v>870.92307692307702</v>
      </c>
      <c r="K70" s="73">
        <f t="shared" si="2"/>
        <v>36030.923076923078</v>
      </c>
      <c r="L70" s="73">
        <f t="shared" si="3"/>
        <v>11086.71503076923</v>
      </c>
      <c r="M70" s="73">
        <v>495</v>
      </c>
      <c r="N70" s="73"/>
      <c r="O70" s="73">
        <f t="shared" si="4"/>
        <v>522.44838461538461</v>
      </c>
      <c r="P70" s="73"/>
      <c r="Q70" s="73">
        <v>5747.36</v>
      </c>
      <c r="R70" s="73">
        <v>325.92</v>
      </c>
      <c r="S70" s="73">
        <f t="shared" si="0"/>
        <v>18177.443415384612</v>
      </c>
      <c r="T70" s="73">
        <f t="shared" si="1"/>
        <v>54208.366492307687</v>
      </c>
      <c r="U70" s="73">
        <v>12355.03</v>
      </c>
      <c r="V70" s="73">
        <v>15161.02</v>
      </c>
      <c r="W70" s="73"/>
      <c r="X70" s="73"/>
      <c r="Y70" s="76"/>
      <c r="Z70" s="76">
        <f t="shared" si="5"/>
        <v>27516.050000000003</v>
      </c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6"/>
      <c r="BA70" s="76"/>
      <c r="BB70" s="76"/>
      <c r="BC70" s="76"/>
    </row>
    <row r="71" spans="1:55" s="77" customFormat="1">
      <c r="A71" s="73">
        <v>53</v>
      </c>
      <c r="B71" s="73" t="s">
        <v>257</v>
      </c>
      <c r="C71" s="73" t="s">
        <v>248</v>
      </c>
      <c r="D71" s="73" t="s">
        <v>258</v>
      </c>
      <c r="E71" s="74" t="s">
        <v>259</v>
      </c>
      <c r="F71" s="73">
        <v>36458</v>
      </c>
      <c r="G71" s="73"/>
      <c r="H71" s="73"/>
      <c r="I71" s="75">
        <v>45923</v>
      </c>
      <c r="J71" s="73"/>
      <c r="K71" s="73">
        <f t="shared" si="2"/>
        <v>36458</v>
      </c>
      <c r="L71" s="73">
        <f t="shared" si="3"/>
        <v>11218.1266</v>
      </c>
      <c r="M71" s="73">
        <v>495</v>
      </c>
      <c r="N71" s="73"/>
      <c r="O71" s="73">
        <f t="shared" si="4"/>
        <v>528.64100000000008</v>
      </c>
      <c r="P71" s="73">
        <v>183</v>
      </c>
      <c r="Q71" s="73">
        <v>3993.86</v>
      </c>
      <c r="R71" s="73">
        <v>297.95999999999998</v>
      </c>
      <c r="S71" s="73">
        <f>SUM(L71:R71)</f>
        <v>16716.587599999999</v>
      </c>
      <c r="T71" s="73">
        <f>K71+S71</f>
        <v>53174.587599999999</v>
      </c>
      <c r="U71" s="73">
        <v>12447.17</v>
      </c>
      <c r="V71" s="73">
        <v>14543.69</v>
      </c>
      <c r="W71" s="73"/>
      <c r="X71" s="73"/>
      <c r="Y71" s="76"/>
      <c r="Z71" s="76">
        <f t="shared" si="5"/>
        <v>26990.86</v>
      </c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6"/>
      <c r="AR71" s="76"/>
      <c r="AS71" s="76"/>
      <c r="AT71" s="76"/>
      <c r="AU71" s="76"/>
      <c r="AV71" s="76"/>
      <c r="AW71" s="76"/>
      <c r="AX71" s="76"/>
      <c r="AY71" s="76"/>
      <c r="AZ71" s="76"/>
      <c r="BA71" s="76"/>
      <c r="BB71" s="76"/>
      <c r="BC71" s="76"/>
    </row>
    <row r="72" spans="1:55" s="77" customFormat="1">
      <c r="A72" s="73">
        <v>54</v>
      </c>
      <c r="B72" s="78" t="s">
        <v>260</v>
      </c>
      <c r="C72" s="78" t="s">
        <v>229</v>
      </c>
      <c r="D72" s="78" t="s">
        <v>261</v>
      </c>
      <c r="E72" s="79" t="s">
        <v>262</v>
      </c>
      <c r="F72" s="78">
        <v>35127</v>
      </c>
      <c r="G72" s="78"/>
      <c r="H72" s="78"/>
      <c r="I72" s="80">
        <v>45831</v>
      </c>
      <c r="J72" s="78">
        <f>((36458-F72)/26)*7</f>
        <v>358.34615384615387</v>
      </c>
      <c r="K72" s="73">
        <f t="shared" si="2"/>
        <v>35485.346153846156</v>
      </c>
      <c r="L72" s="73">
        <f t="shared" si="3"/>
        <v>10918.841011538461</v>
      </c>
      <c r="M72" s="73">
        <v>495</v>
      </c>
      <c r="N72" s="73"/>
      <c r="O72" s="73">
        <f t="shared" si="4"/>
        <v>514.53751923076925</v>
      </c>
      <c r="P72" s="73">
        <v>183</v>
      </c>
      <c r="Q72" s="73">
        <v>9595.2999999999993</v>
      </c>
      <c r="R72" s="73">
        <v>328.38</v>
      </c>
      <c r="S72" s="73">
        <f t="shared" si="0"/>
        <v>22035.058530769231</v>
      </c>
      <c r="T72" s="73">
        <f t="shared" si="1"/>
        <v>57520.404684615387</v>
      </c>
      <c r="U72" s="73">
        <v>12315</v>
      </c>
      <c r="V72" s="73">
        <v>14654.01</v>
      </c>
      <c r="W72" s="73"/>
      <c r="X72" s="73"/>
      <c r="Y72" s="76"/>
      <c r="Z72" s="76">
        <f t="shared" si="5"/>
        <v>26969.010000000002</v>
      </c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</row>
    <row r="73" spans="1:55" s="77" customFormat="1">
      <c r="A73" s="73">
        <v>55</v>
      </c>
      <c r="B73" s="78" t="s">
        <v>263</v>
      </c>
      <c r="C73" s="78" t="s">
        <v>229</v>
      </c>
      <c r="D73" s="78" t="s">
        <v>264</v>
      </c>
      <c r="E73" s="79" t="s">
        <v>265</v>
      </c>
      <c r="F73" s="78">
        <v>37840</v>
      </c>
      <c r="G73" s="78"/>
      <c r="H73" s="78"/>
      <c r="I73" s="80">
        <v>45705</v>
      </c>
      <c r="J73" s="78">
        <f>((39273-F73)/26)*16</f>
        <v>881.84615384615381</v>
      </c>
      <c r="K73" s="73">
        <f t="shared" si="2"/>
        <v>38721.846153846156</v>
      </c>
      <c r="L73" s="73">
        <f t="shared" si="3"/>
        <v>11914.712061538461</v>
      </c>
      <c r="M73" s="73">
        <v>495</v>
      </c>
      <c r="N73" s="73"/>
      <c r="O73" s="73">
        <f t="shared" si="4"/>
        <v>561.46676923076927</v>
      </c>
      <c r="P73" s="73">
        <v>183</v>
      </c>
      <c r="Q73" s="73">
        <v>5708.82</v>
      </c>
      <c r="R73" s="73">
        <v>328.38</v>
      </c>
      <c r="S73" s="73">
        <f t="shared" si="0"/>
        <v>19191.37883076923</v>
      </c>
      <c r="T73" s="73">
        <f t="shared" si="1"/>
        <v>57913.224984615386</v>
      </c>
      <c r="U73" s="73">
        <v>10707</v>
      </c>
      <c r="V73" s="73">
        <v>14945.88</v>
      </c>
      <c r="W73" s="73"/>
      <c r="X73" s="73"/>
      <c r="Y73" s="76"/>
      <c r="Z73" s="76">
        <f t="shared" si="5"/>
        <v>25652.879999999997</v>
      </c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6"/>
      <c r="AN73" s="76"/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76"/>
      <c r="BA73" s="76"/>
      <c r="BB73" s="76"/>
      <c r="BC73" s="76"/>
    </row>
    <row r="74" spans="1:55" s="77" customFormat="1">
      <c r="A74" s="73">
        <v>56</v>
      </c>
      <c r="B74" s="78" t="s">
        <v>266</v>
      </c>
      <c r="C74" s="78" t="s">
        <v>267</v>
      </c>
      <c r="D74" s="78" t="s">
        <v>268</v>
      </c>
      <c r="E74" s="79" t="s">
        <v>269</v>
      </c>
      <c r="F74" s="78">
        <v>28178</v>
      </c>
      <c r="G74" s="78"/>
      <c r="H74" s="78"/>
      <c r="I74" s="80">
        <v>45807</v>
      </c>
      <c r="J74" s="78">
        <f>((29071-F74)/26)*9</f>
        <v>309.11538461538464</v>
      </c>
      <c r="K74" s="73">
        <f t="shared" si="2"/>
        <v>28487.115384615383</v>
      </c>
      <c r="L74" s="73">
        <f t="shared" si="3"/>
        <v>8765.4854038461526</v>
      </c>
      <c r="M74" s="73">
        <v>495</v>
      </c>
      <c r="N74" s="73"/>
      <c r="O74" s="73">
        <f t="shared" si="4"/>
        <v>413.06317307692308</v>
      </c>
      <c r="P74" s="73">
        <v>183</v>
      </c>
      <c r="Q74" s="73">
        <v>3993.86</v>
      </c>
      <c r="R74" s="73">
        <v>297.95999999999998</v>
      </c>
      <c r="S74" s="73">
        <f t="shared" si="0"/>
        <v>14148.368576923076</v>
      </c>
      <c r="T74" s="73">
        <f t="shared" si="1"/>
        <v>42635.483961538455</v>
      </c>
      <c r="U74" s="73">
        <v>9939</v>
      </c>
      <c r="V74" s="73">
        <v>11596.34</v>
      </c>
      <c r="W74" s="73"/>
      <c r="X74" s="73"/>
      <c r="Y74" s="76"/>
      <c r="Z74" s="76">
        <f t="shared" si="5"/>
        <v>21535.34</v>
      </c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N74" s="76"/>
      <c r="AO74" s="76"/>
      <c r="AP74" s="76"/>
      <c r="AQ74" s="76"/>
      <c r="AR74" s="76"/>
      <c r="AS74" s="76"/>
      <c r="AT74" s="76"/>
      <c r="AU74" s="76"/>
      <c r="AV74" s="76"/>
      <c r="AW74" s="76"/>
      <c r="AX74" s="76"/>
      <c r="AY74" s="76"/>
      <c r="AZ74" s="76"/>
      <c r="BA74" s="76"/>
      <c r="BB74" s="76"/>
      <c r="BC74" s="76"/>
    </row>
    <row r="75" spans="1:55" s="77" customFormat="1">
      <c r="A75" s="73">
        <v>57</v>
      </c>
      <c r="B75" s="73" t="s">
        <v>270</v>
      </c>
      <c r="C75" s="73" t="s">
        <v>103</v>
      </c>
      <c r="D75" s="73" t="s">
        <v>271</v>
      </c>
      <c r="E75" s="74" t="s">
        <v>272</v>
      </c>
      <c r="F75" s="73">
        <v>55349</v>
      </c>
      <c r="G75" s="73"/>
      <c r="H75" s="73"/>
      <c r="I75" s="75"/>
      <c r="J75" s="73"/>
      <c r="K75" s="73">
        <f t="shared" si="2"/>
        <v>55349</v>
      </c>
      <c r="L75" s="73">
        <f t="shared" si="3"/>
        <v>17030.887299999999</v>
      </c>
      <c r="M75" s="73">
        <v>495</v>
      </c>
      <c r="N75" s="73"/>
      <c r="O75" s="73">
        <f t="shared" si="4"/>
        <v>802.56050000000005</v>
      </c>
      <c r="P75" s="73">
        <v>183</v>
      </c>
      <c r="Q75" s="73">
        <v>3993.86</v>
      </c>
      <c r="R75" s="73">
        <v>297.95999999999998</v>
      </c>
      <c r="S75" s="73">
        <f t="shared" si="0"/>
        <v>22803.267799999998</v>
      </c>
      <c r="T75" s="73">
        <f t="shared" si="1"/>
        <v>78152.267800000001</v>
      </c>
      <c r="U75" s="73"/>
      <c r="V75" s="73"/>
      <c r="W75" s="73"/>
      <c r="X75" s="73"/>
      <c r="Y75" s="76"/>
      <c r="Z75" s="76">
        <f t="shared" si="5"/>
        <v>0</v>
      </c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N75" s="76"/>
      <c r="AO75" s="76"/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</row>
    <row r="76" spans="1:55" s="77" customFormat="1">
      <c r="A76" s="73">
        <v>58</v>
      </c>
      <c r="B76" s="73" t="s">
        <v>273</v>
      </c>
      <c r="C76" s="73" t="s">
        <v>149</v>
      </c>
      <c r="D76" s="73" t="s">
        <v>274</v>
      </c>
      <c r="E76" s="74" t="s">
        <v>275</v>
      </c>
      <c r="F76" s="73">
        <v>45618</v>
      </c>
      <c r="G76" s="73"/>
      <c r="H76" s="73"/>
      <c r="I76" s="75"/>
      <c r="J76" s="73"/>
      <c r="K76" s="73">
        <f t="shared" si="2"/>
        <v>45618</v>
      </c>
      <c r="L76" s="73">
        <f t="shared" si="3"/>
        <v>14036.658599999999</v>
      </c>
      <c r="M76" s="73">
        <v>495</v>
      </c>
      <c r="N76" s="73"/>
      <c r="O76" s="73">
        <f t="shared" si="4"/>
        <v>661.46100000000001</v>
      </c>
      <c r="P76" s="73">
        <v>183</v>
      </c>
      <c r="Q76" s="73">
        <v>3993.86</v>
      </c>
      <c r="R76" s="73">
        <v>297.95999999999998</v>
      </c>
      <c r="S76" s="73">
        <f t="shared" si="0"/>
        <v>19667.939599999998</v>
      </c>
      <c r="T76" s="73">
        <f t="shared" si="1"/>
        <v>65285.939599999998</v>
      </c>
      <c r="U76" s="73">
        <v>2180.64</v>
      </c>
      <c r="V76" s="73">
        <v>17518.490000000002</v>
      </c>
      <c r="W76" s="73"/>
      <c r="X76" s="73"/>
      <c r="Y76" s="76"/>
      <c r="Z76" s="76">
        <f t="shared" si="5"/>
        <v>19699.13</v>
      </c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N76" s="76"/>
      <c r="AO76" s="76"/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</row>
    <row r="77" spans="1:55">
      <c r="A77" s="73"/>
      <c r="B77" s="73"/>
      <c r="C77" s="73"/>
      <c r="D77" s="83"/>
      <c r="E77" s="74"/>
      <c r="F77" s="73"/>
      <c r="G77" s="73"/>
      <c r="H77" s="73"/>
      <c r="I77" s="75"/>
      <c r="J77" s="73"/>
      <c r="K77" s="73">
        <f t="shared" si="2"/>
        <v>0</v>
      </c>
      <c r="L77" s="73">
        <f t="shared" si="3"/>
        <v>0</v>
      </c>
      <c r="M77" s="73"/>
      <c r="N77" s="73"/>
      <c r="O77" s="73">
        <f t="shared" si="4"/>
        <v>0</v>
      </c>
      <c r="P77" s="73"/>
      <c r="Q77" s="73"/>
      <c r="R77" s="73"/>
      <c r="S77" s="73">
        <f t="shared" si="0"/>
        <v>0</v>
      </c>
      <c r="T77" s="73">
        <f t="shared" si="1"/>
        <v>0</v>
      </c>
      <c r="U77" s="73"/>
      <c r="V77" s="73"/>
      <c r="W77" s="73"/>
      <c r="X77" s="73"/>
      <c r="Y77" s="76"/>
      <c r="Z77" s="76">
        <f t="shared" si="5"/>
        <v>0</v>
      </c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N77" s="76"/>
      <c r="AO77" s="76"/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</row>
    <row r="78" spans="1:55">
      <c r="A78" s="73"/>
      <c r="B78" s="73"/>
      <c r="C78" s="73"/>
      <c r="D78" s="73"/>
      <c r="E78" s="74"/>
      <c r="F78" s="73"/>
      <c r="G78" s="73"/>
      <c r="H78" s="73"/>
      <c r="I78" s="75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N78" s="76"/>
      <c r="AO78" s="76"/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</row>
    <row r="79" spans="1:55">
      <c r="A79" s="73"/>
      <c r="B79" s="73"/>
      <c r="C79" s="73"/>
      <c r="D79" s="73"/>
      <c r="E79" s="74"/>
      <c r="F79" s="73"/>
      <c r="G79" s="73"/>
      <c r="H79" s="73"/>
      <c r="I79" s="75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76"/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</row>
    <row r="80" spans="1:55">
      <c r="A80" s="73"/>
      <c r="B80" s="73"/>
      <c r="C80" s="73"/>
      <c r="D80" s="73"/>
      <c r="E80" s="74"/>
      <c r="F80" s="73"/>
      <c r="G80" s="73"/>
      <c r="H80" s="73"/>
      <c r="I80" s="75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76"/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</row>
    <row r="81" spans="1:74">
      <c r="A81" s="76"/>
      <c r="B81" s="76"/>
      <c r="C81" s="76"/>
      <c r="D81" s="76"/>
      <c r="E81" s="84"/>
      <c r="F81" s="85">
        <f>SUM(F17:F80)</f>
        <v>4373874.1800000006</v>
      </c>
      <c r="G81" s="76"/>
      <c r="H81" s="76"/>
      <c r="I81" s="76"/>
      <c r="J81" s="85">
        <f>SUM(J17:J80)</f>
        <v>17540.931153846148</v>
      </c>
      <c r="K81" s="85">
        <f>SUM(K17:K80)</f>
        <v>4391415.1111538457</v>
      </c>
      <c r="L81" s="85">
        <f>SUM(L17:L80)</f>
        <v>1351238.4297020379</v>
      </c>
      <c r="M81" s="76"/>
      <c r="N81" s="76"/>
      <c r="O81" s="85">
        <f>SUM(O17:O80)</f>
        <v>63675.519111730791</v>
      </c>
      <c r="P81" s="76"/>
      <c r="Q81" s="76"/>
      <c r="R81" s="76"/>
      <c r="S81" s="85">
        <f>SUM(L81:R81)</f>
        <v>1414913.9488137688</v>
      </c>
      <c r="T81" s="85">
        <f t="shared" si="1"/>
        <v>5806329.0599676147</v>
      </c>
      <c r="U81" s="76">
        <f>SUM(U17:U80)</f>
        <v>1252990.8999999999</v>
      </c>
      <c r="V81" s="76"/>
      <c r="W81" s="76"/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N81" s="76"/>
      <c r="AO81" s="76"/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</row>
    <row r="82" spans="1:74" ht="12" thickBot="1">
      <c r="A82" s="76"/>
      <c r="B82" s="76"/>
      <c r="C82" s="76"/>
      <c r="D82" s="76"/>
      <c r="E82" s="84"/>
      <c r="F82" s="86">
        <f>F81/4</f>
        <v>1093468.5450000002</v>
      </c>
      <c r="G82" s="76"/>
      <c r="H82" s="76"/>
      <c r="I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N82" s="76"/>
      <c r="AO82" s="76"/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</row>
    <row r="83" spans="1:74" ht="16.5" customHeight="1" thickTop="1" thickBot="1">
      <c r="A83" s="87"/>
      <c r="B83" s="88" t="s">
        <v>276</v>
      </c>
      <c r="C83" s="89"/>
      <c r="D83" s="89"/>
      <c r="E83" s="89"/>
      <c r="F83" s="89"/>
      <c r="G83" s="89"/>
      <c r="H83" s="89"/>
      <c r="I83" s="89"/>
      <c r="J83" s="90"/>
      <c r="K83" s="87"/>
      <c r="L83" s="87"/>
      <c r="M83" s="87"/>
      <c r="N83" s="87"/>
      <c r="O83" s="87"/>
      <c r="P83" s="87"/>
      <c r="Q83" s="91" t="s">
        <v>10</v>
      </c>
      <c r="R83" s="92"/>
      <c r="S83" s="87"/>
      <c r="T83" s="87"/>
      <c r="U83" s="93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93"/>
      <c r="AK83" s="93"/>
      <c r="AL83" s="93"/>
      <c r="AM83" s="93"/>
      <c r="AN83" s="93"/>
      <c r="AO83" s="93"/>
      <c r="AP83" s="93"/>
      <c r="AQ83" s="93"/>
      <c r="AR83" s="93"/>
      <c r="AS83" s="93"/>
      <c r="AT83" s="93"/>
      <c r="AU83" s="93"/>
      <c r="AV83" s="93"/>
      <c r="AW83" s="93"/>
      <c r="AX83" s="93"/>
      <c r="AY83" s="93"/>
      <c r="AZ83" s="93"/>
      <c r="BA83" s="93"/>
      <c r="BB83" s="93"/>
      <c r="BC83" s="93"/>
      <c r="BD83" s="5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</row>
    <row r="84" spans="1:74" ht="12" thickTop="1">
      <c r="A84" s="87"/>
      <c r="B84" s="94"/>
      <c r="C84" s="87"/>
      <c r="D84" s="87"/>
      <c r="E84" s="95"/>
      <c r="F84" s="87"/>
      <c r="G84" s="87"/>
      <c r="H84" s="87"/>
      <c r="I84" s="87"/>
      <c r="J84" s="96"/>
      <c r="K84" s="87"/>
      <c r="L84" s="87"/>
      <c r="M84" s="87"/>
      <c r="N84" s="87"/>
      <c r="O84" s="87"/>
      <c r="P84" s="87"/>
      <c r="Q84" s="94"/>
      <c r="R84" s="96"/>
      <c r="S84" s="87"/>
      <c r="T84" s="87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  <c r="AN84" s="93"/>
      <c r="AO84" s="93"/>
      <c r="AP84" s="93"/>
      <c r="AQ84" s="93"/>
      <c r="AR84" s="93"/>
      <c r="AS84" s="93"/>
      <c r="AT84" s="93"/>
      <c r="AU84" s="93"/>
      <c r="AV84" s="93"/>
      <c r="AW84" s="93"/>
      <c r="AX84" s="93"/>
      <c r="AY84" s="93"/>
      <c r="AZ84" s="93"/>
      <c r="BA84" s="93"/>
      <c r="BB84" s="93"/>
      <c r="BC84" s="93"/>
      <c r="BD84" s="5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</row>
    <row r="85" spans="1:74">
      <c r="A85" s="1"/>
      <c r="B85" s="22" t="s">
        <v>11</v>
      </c>
      <c r="C85" s="23" t="s">
        <v>12</v>
      </c>
      <c r="D85" s="24" t="s">
        <v>13</v>
      </c>
      <c r="E85" s="23" t="s">
        <v>14</v>
      </c>
      <c r="F85" s="24" t="s">
        <v>15</v>
      </c>
      <c r="G85" s="25" t="s">
        <v>16</v>
      </c>
      <c r="H85" s="25" t="s">
        <v>17</v>
      </c>
      <c r="I85" s="25" t="s">
        <v>18</v>
      </c>
      <c r="J85" s="26" t="s">
        <v>19</v>
      </c>
      <c r="K85" s="23" t="s">
        <v>20</v>
      </c>
      <c r="L85" s="23" t="s">
        <v>21</v>
      </c>
      <c r="M85" s="24" t="s">
        <v>22</v>
      </c>
      <c r="N85" s="24" t="s">
        <v>23</v>
      </c>
      <c r="O85" s="24" t="s">
        <v>24</v>
      </c>
      <c r="P85" s="24" t="s">
        <v>25</v>
      </c>
      <c r="Q85" s="27" t="s">
        <v>26</v>
      </c>
      <c r="R85" s="26" t="s">
        <v>27</v>
      </c>
      <c r="S85" s="27" t="s">
        <v>28</v>
      </c>
      <c r="T85" s="28" t="s">
        <v>29</v>
      </c>
      <c r="U85" s="97" t="s">
        <v>30</v>
      </c>
      <c r="V85" s="98" t="s">
        <v>31</v>
      </c>
      <c r="W85" s="98" t="s">
        <v>32</v>
      </c>
      <c r="X85" s="98" t="s">
        <v>33</v>
      </c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</row>
    <row r="86" spans="1:74" ht="12.75">
      <c r="A86" s="31"/>
      <c r="B86" s="32" t="s">
        <v>0</v>
      </c>
      <c r="C86" s="33"/>
      <c r="D86" s="34" t="s">
        <v>0</v>
      </c>
      <c r="E86" s="34" t="s">
        <v>0</v>
      </c>
      <c r="F86" s="35" t="s">
        <v>0</v>
      </c>
      <c r="G86" s="36"/>
      <c r="H86" s="36" t="s">
        <v>34</v>
      </c>
      <c r="I86" s="37" t="s">
        <v>35</v>
      </c>
      <c r="J86" s="38"/>
      <c r="K86" s="39" t="s">
        <v>0</v>
      </c>
      <c r="L86" s="40"/>
      <c r="M86" s="41"/>
      <c r="N86" s="41"/>
      <c r="O86" s="41" t="s">
        <v>36</v>
      </c>
      <c r="P86" s="41"/>
      <c r="Q86" s="42"/>
      <c r="R86" s="43"/>
      <c r="S86" s="44"/>
      <c r="T86" s="45"/>
      <c r="U86" s="59" t="s">
        <v>37</v>
      </c>
      <c r="V86" s="59" t="s">
        <v>38</v>
      </c>
      <c r="W86" s="59" t="s">
        <v>39</v>
      </c>
      <c r="X86" s="59" t="s">
        <v>40</v>
      </c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</row>
    <row r="87" spans="1:74" ht="12.75">
      <c r="A87" s="47"/>
      <c r="B87" s="48" t="s">
        <v>41</v>
      </c>
      <c r="C87" s="36" t="s">
        <v>41</v>
      </c>
      <c r="D87" s="36" t="s">
        <v>42</v>
      </c>
      <c r="E87" s="36" t="s">
        <v>43</v>
      </c>
      <c r="F87" s="49" t="s">
        <v>0</v>
      </c>
      <c r="G87" s="36"/>
      <c r="H87" s="36" t="s">
        <v>44</v>
      </c>
      <c r="I87" s="50"/>
      <c r="J87" s="51"/>
      <c r="K87" s="52" t="s">
        <v>45</v>
      </c>
      <c r="L87" s="53" t="s">
        <v>46</v>
      </c>
      <c r="M87" s="53" t="s">
        <v>47</v>
      </c>
      <c r="N87" s="53" t="s">
        <v>48</v>
      </c>
      <c r="O87" s="53" t="s">
        <v>49</v>
      </c>
      <c r="P87" s="54" t="s">
        <v>50</v>
      </c>
      <c r="Q87" s="55" t="s">
        <v>51</v>
      </c>
      <c r="R87" s="56" t="s">
        <v>52</v>
      </c>
      <c r="S87" s="57" t="s">
        <v>53</v>
      </c>
      <c r="T87" s="58" t="s">
        <v>54</v>
      </c>
      <c r="U87" s="59"/>
      <c r="V87" s="59"/>
      <c r="W87" s="59"/>
      <c r="X87" s="59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</row>
    <row r="88" spans="1:74" ht="13.5" thickBot="1">
      <c r="A88" s="99" t="s">
        <v>55</v>
      </c>
      <c r="B88" s="100" t="s">
        <v>56</v>
      </c>
      <c r="C88" s="101" t="s">
        <v>57</v>
      </c>
      <c r="D88" s="101" t="s">
        <v>58</v>
      </c>
      <c r="E88" s="101" t="s">
        <v>59</v>
      </c>
      <c r="F88" s="102" t="s">
        <v>60</v>
      </c>
      <c r="G88" s="101" t="s">
        <v>61</v>
      </c>
      <c r="H88" s="103" t="s">
        <v>62</v>
      </c>
      <c r="I88" s="104" t="s">
        <v>63</v>
      </c>
      <c r="J88" s="105" t="s">
        <v>64</v>
      </c>
      <c r="K88" s="106" t="s">
        <v>65</v>
      </c>
      <c r="L88" s="107">
        <f>[1]SUMMARY!L85</f>
        <v>0</v>
      </c>
      <c r="M88" s="107" t="s">
        <v>67</v>
      </c>
      <c r="N88" s="108" t="s">
        <v>277</v>
      </c>
      <c r="O88" s="108" t="s">
        <v>278</v>
      </c>
      <c r="P88" s="109" t="s">
        <v>279</v>
      </c>
      <c r="Q88" s="110" t="s">
        <v>70</v>
      </c>
      <c r="R88" s="111" t="s">
        <v>70</v>
      </c>
      <c r="S88" s="106" t="s">
        <v>71</v>
      </c>
      <c r="T88" s="112" t="s">
        <v>72</v>
      </c>
      <c r="U88" s="59"/>
      <c r="V88" s="59"/>
      <c r="W88" s="59"/>
      <c r="X88" s="59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</row>
    <row r="89" spans="1:74" ht="12" thickTop="1">
      <c r="A89" s="7">
        <v>1</v>
      </c>
      <c r="B89" s="7" t="s">
        <v>280</v>
      </c>
      <c r="C89" s="7" t="s">
        <v>281</v>
      </c>
      <c r="D89" s="7" t="s">
        <v>282</v>
      </c>
      <c r="E89" s="113" t="s">
        <v>283</v>
      </c>
      <c r="F89" s="7">
        <v>148198.6</v>
      </c>
      <c r="I89" s="114"/>
      <c r="K89" s="7">
        <f t="shared" ref="K89:K94" si="6">SUM(F89:J89)</f>
        <v>148198.6</v>
      </c>
      <c r="L89" s="7">
        <f>K89*0.3077</f>
        <v>45600.709219999997</v>
      </c>
      <c r="O89" s="7">
        <f>K89*0.0145</f>
        <v>2148.8797000000004</v>
      </c>
      <c r="S89" s="7">
        <f>SUM(L89:R89)</f>
        <v>47749.588919999995</v>
      </c>
      <c r="T89" s="7">
        <f t="shared" ref="T89:T94" si="7">K89+S89</f>
        <v>195948.18891999999</v>
      </c>
      <c r="U89" s="7">
        <v>53050</v>
      </c>
      <c r="V89" s="7">
        <v>61896.73</v>
      </c>
      <c r="Z89" s="7">
        <f>U89+V89</f>
        <v>114946.73000000001</v>
      </c>
    </row>
    <row r="90" spans="1:74">
      <c r="A90" s="7">
        <v>2</v>
      </c>
      <c r="B90" s="7" t="s">
        <v>284</v>
      </c>
      <c r="C90" s="7" t="s">
        <v>285</v>
      </c>
      <c r="D90" s="7" t="s">
        <v>286</v>
      </c>
      <c r="E90" s="113" t="s">
        <v>130</v>
      </c>
      <c r="F90" s="7">
        <v>110430.68</v>
      </c>
      <c r="I90" s="114"/>
      <c r="K90" s="7">
        <f t="shared" si="6"/>
        <v>110430.68</v>
      </c>
      <c r="S90" s="7">
        <f t="shared" ref="S90:S94" si="8">SUM(L90:R90)</f>
        <v>0</v>
      </c>
      <c r="T90" s="7">
        <f t="shared" si="7"/>
        <v>110430.68</v>
      </c>
      <c r="U90" s="7">
        <v>25483.200000000001</v>
      </c>
      <c r="V90" s="7">
        <v>39031.75</v>
      </c>
      <c r="Z90" s="7">
        <f t="shared" ref="Z90:Z98" si="9">U90+V90</f>
        <v>64514.95</v>
      </c>
    </row>
    <row r="91" spans="1:74">
      <c r="A91" s="7">
        <v>3</v>
      </c>
      <c r="B91" s="7" t="s">
        <v>287</v>
      </c>
      <c r="C91" s="7" t="s">
        <v>288</v>
      </c>
      <c r="D91" s="7" t="s">
        <v>289</v>
      </c>
      <c r="E91" s="113" t="s">
        <v>272</v>
      </c>
      <c r="F91" s="7">
        <v>55349.2</v>
      </c>
      <c r="I91" s="114">
        <v>46022</v>
      </c>
      <c r="K91" s="7">
        <f t="shared" si="6"/>
        <v>101371.2</v>
      </c>
      <c r="L91" s="7">
        <f>K91*0.3077</f>
        <v>31191.918239999995</v>
      </c>
      <c r="M91" s="7">
        <v>495</v>
      </c>
      <c r="O91" s="7">
        <f>K91*0.0145</f>
        <v>1469.8824</v>
      </c>
      <c r="P91" s="7">
        <v>183</v>
      </c>
      <c r="Q91" s="7">
        <v>0</v>
      </c>
      <c r="R91" s="7">
        <v>0</v>
      </c>
      <c r="S91" s="7">
        <f>SUM(L91:R91)</f>
        <v>33339.800639999994</v>
      </c>
      <c r="T91" s="7">
        <f t="shared" si="7"/>
        <v>134711.00063999998</v>
      </c>
      <c r="U91" s="7">
        <f>13756.8+5043.9</f>
        <v>18800.699999999997</v>
      </c>
      <c r="V91" s="7">
        <v>21057.31</v>
      </c>
      <c r="Z91" s="7">
        <f t="shared" si="9"/>
        <v>39858.009999999995</v>
      </c>
    </row>
    <row r="92" spans="1:74">
      <c r="A92" s="7">
        <v>4</v>
      </c>
      <c r="B92" s="7" t="s">
        <v>290</v>
      </c>
      <c r="C92" s="7" t="s">
        <v>291</v>
      </c>
      <c r="D92" s="7" t="s">
        <v>292</v>
      </c>
      <c r="E92" s="113" t="s">
        <v>293</v>
      </c>
      <c r="F92" s="7">
        <v>50121</v>
      </c>
      <c r="I92" s="114">
        <v>46022</v>
      </c>
      <c r="K92" s="7">
        <f t="shared" si="6"/>
        <v>96143</v>
      </c>
      <c r="L92" s="7">
        <f t="shared" ref="L92:L98" si="10">K92*0.3077</f>
        <v>29583.201099999998</v>
      </c>
      <c r="M92" s="7">
        <v>495</v>
      </c>
      <c r="O92" s="7">
        <f t="shared" ref="O92:O98" si="11">K92*0.0145</f>
        <v>1394.0735</v>
      </c>
      <c r="P92" s="7">
        <v>183</v>
      </c>
      <c r="Q92" s="7">
        <v>0</v>
      </c>
      <c r="R92" s="7">
        <v>0</v>
      </c>
      <c r="S92" s="7">
        <f t="shared" si="8"/>
        <v>31655.274599999997</v>
      </c>
      <c r="T92" s="7">
        <f t="shared" si="7"/>
        <v>127798.2746</v>
      </c>
      <c r="U92" s="7">
        <f>10526.4+3524.35</f>
        <v>14050.75</v>
      </c>
      <c r="V92" s="7">
        <v>17911.96</v>
      </c>
      <c r="Z92" s="7">
        <f t="shared" si="9"/>
        <v>31962.71</v>
      </c>
    </row>
    <row r="93" spans="1:74">
      <c r="A93" s="7">
        <v>5</v>
      </c>
      <c r="B93" s="7" t="s">
        <v>294</v>
      </c>
      <c r="C93" s="7" t="s">
        <v>135</v>
      </c>
      <c r="D93" s="7" t="s">
        <v>295</v>
      </c>
      <c r="E93" s="113" t="s">
        <v>137</v>
      </c>
      <c r="F93" s="7">
        <v>63023</v>
      </c>
      <c r="I93" s="114">
        <v>45972</v>
      </c>
      <c r="K93" s="7">
        <f t="shared" si="6"/>
        <v>108995</v>
      </c>
      <c r="L93" s="7">
        <f t="shared" si="10"/>
        <v>33537.761500000001</v>
      </c>
      <c r="M93" s="7">
        <v>495</v>
      </c>
      <c r="O93" s="7">
        <f t="shared" si="11"/>
        <v>1580.4275</v>
      </c>
      <c r="P93" s="7">
        <v>183</v>
      </c>
      <c r="Q93" s="7">
        <v>6116.24</v>
      </c>
      <c r="R93" s="7">
        <v>0</v>
      </c>
      <c r="S93" s="7">
        <f t="shared" si="8"/>
        <v>41912.428999999996</v>
      </c>
      <c r="T93" s="7">
        <f t="shared" si="7"/>
        <v>150907.429</v>
      </c>
      <c r="U93" s="7">
        <f>14544+6776.44</f>
        <v>21320.44</v>
      </c>
      <c r="V93" s="7">
        <v>24911.74</v>
      </c>
      <c r="Z93" s="7">
        <f t="shared" si="9"/>
        <v>46232.18</v>
      </c>
    </row>
    <row r="94" spans="1:74">
      <c r="A94" s="7">
        <v>6</v>
      </c>
      <c r="C94" s="7" t="s">
        <v>296</v>
      </c>
      <c r="D94" s="7" t="s">
        <v>297</v>
      </c>
      <c r="E94" s="113" t="s">
        <v>298</v>
      </c>
      <c r="F94" s="7">
        <v>41697</v>
      </c>
      <c r="I94" s="114"/>
      <c r="K94" s="7">
        <f t="shared" si="6"/>
        <v>41697</v>
      </c>
      <c r="L94" s="7">
        <f t="shared" si="10"/>
        <v>12830.166899999998</v>
      </c>
      <c r="O94" s="7">
        <f t="shared" si="11"/>
        <v>604.60649999999998</v>
      </c>
      <c r="P94" s="7">
        <v>183</v>
      </c>
      <c r="Q94" s="7">
        <v>0</v>
      </c>
      <c r="R94" s="7">
        <v>0</v>
      </c>
      <c r="S94" s="7">
        <f t="shared" si="8"/>
        <v>13617.773399999998</v>
      </c>
      <c r="T94" s="7">
        <f t="shared" si="7"/>
        <v>55314.773399999998</v>
      </c>
      <c r="Z94" s="7">
        <f t="shared" si="9"/>
        <v>0</v>
      </c>
    </row>
    <row r="95" spans="1:74">
      <c r="A95" s="7">
        <v>7</v>
      </c>
      <c r="B95" s="7" t="s">
        <v>299</v>
      </c>
      <c r="C95" s="7" t="s">
        <v>229</v>
      </c>
      <c r="D95" s="7" t="s">
        <v>300</v>
      </c>
      <c r="E95" s="113" t="s">
        <v>250</v>
      </c>
      <c r="F95" s="7">
        <v>32609</v>
      </c>
      <c r="I95" s="114">
        <v>46022</v>
      </c>
      <c r="K95" s="7">
        <v>28491</v>
      </c>
      <c r="L95" s="7">
        <f t="shared" si="10"/>
        <v>8766.680699999999</v>
      </c>
      <c r="M95" s="7">
        <v>495</v>
      </c>
      <c r="O95" s="7">
        <f t="shared" si="11"/>
        <v>413.11950000000002</v>
      </c>
      <c r="P95" s="7">
        <v>183</v>
      </c>
      <c r="Q95" s="7">
        <v>3993.86</v>
      </c>
      <c r="R95" s="7">
        <v>297.95999999999998</v>
      </c>
      <c r="S95" s="7">
        <v>13767.84</v>
      </c>
      <c r="T95" s="7">
        <v>42258.84</v>
      </c>
      <c r="U95" s="7">
        <v>9794.06</v>
      </c>
      <c r="V95" s="7">
        <v>12945.03</v>
      </c>
      <c r="Z95" s="7">
        <f t="shared" si="9"/>
        <v>22739.09</v>
      </c>
    </row>
    <row r="96" spans="1:74">
      <c r="A96" s="7">
        <v>8</v>
      </c>
      <c r="B96" s="7" t="s">
        <v>301</v>
      </c>
      <c r="C96" s="7" t="s">
        <v>288</v>
      </c>
      <c r="D96" s="7" t="s">
        <v>302</v>
      </c>
      <c r="E96" s="113" t="s">
        <v>272</v>
      </c>
      <c r="F96" s="7">
        <v>55349</v>
      </c>
      <c r="I96" s="114">
        <v>46022</v>
      </c>
      <c r="K96" s="7">
        <f>SUM(F96:J96)</f>
        <v>101371</v>
      </c>
      <c r="L96" s="7">
        <f t="shared" si="10"/>
        <v>31191.856699999997</v>
      </c>
      <c r="O96" s="7">
        <f t="shared" si="11"/>
        <v>1469.8795</v>
      </c>
      <c r="P96" s="7">
        <v>183</v>
      </c>
      <c r="Q96" s="7">
        <v>9339.4599999999991</v>
      </c>
      <c r="R96" s="7">
        <v>529.62</v>
      </c>
      <c r="S96" s="7">
        <f>SUM(L96:R96)</f>
        <v>42713.816200000001</v>
      </c>
      <c r="T96" s="7">
        <f>K96+S96</f>
        <v>144084.8162</v>
      </c>
      <c r="U96" s="7">
        <f>12772.8+6853.9</f>
        <v>19626.699999999997</v>
      </c>
      <c r="V96" s="7">
        <v>22931.05</v>
      </c>
      <c r="Z96" s="7">
        <f t="shared" si="9"/>
        <v>42557.75</v>
      </c>
    </row>
    <row r="97" spans="1:27">
      <c r="A97" s="7">
        <v>9</v>
      </c>
      <c r="B97" s="7" t="s">
        <v>303</v>
      </c>
      <c r="C97" s="7" t="s">
        <v>81</v>
      </c>
      <c r="D97" s="7" t="s">
        <v>304</v>
      </c>
      <c r="E97" s="113" t="s">
        <v>116</v>
      </c>
      <c r="F97" s="7">
        <v>138199.24</v>
      </c>
      <c r="I97" s="114">
        <v>46203</v>
      </c>
      <c r="K97" s="7">
        <f>SUM(F97:J97)</f>
        <v>184402.24</v>
      </c>
      <c r="L97" s="7">
        <f t="shared" si="10"/>
        <v>56740.569247999993</v>
      </c>
      <c r="O97" s="7">
        <f t="shared" si="11"/>
        <v>2673.83248</v>
      </c>
      <c r="P97" s="7">
        <v>183</v>
      </c>
      <c r="Q97" s="7">
        <v>6116.24</v>
      </c>
      <c r="R97" s="7">
        <v>297.95999999999998</v>
      </c>
      <c r="S97" s="7">
        <f>SUM(L97:R97)</f>
        <v>66011.601727999994</v>
      </c>
      <c r="T97" s="7">
        <f>K97+S97</f>
        <v>250413.84172799997</v>
      </c>
      <c r="U97" s="7">
        <f>31891.2+12290.81</f>
        <v>44182.01</v>
      </c>
      <c r="V97" s="7">
        <v>51628.78</v>
      </c>
      <c r="Z97" s="7">
        <f t="shared" si="9"/>
        <v>95810.790000000008</v>
      </c>
    </row>
    <row r="98" spans="1:27">
      <c r="A98" s="7">
        <v>10</v>
      </c>
      <c r="B98" s="7" t="s">
        <v>305</v>
      </c>
      <c r="C98" s="7" t="s">
        <v>229</v>
      </c>
      <c r="D98" s="7" t="s">
        <v>306</v>
      </c>
      <c r="E98" s="113" t="s">
        <v>250</v>
      </c>
      <c r="F98" s="7">
        <v>32609</v>
      </c>
      <c r="I98" s="114">
        <v>46022</v>
      </c>
      <c r="K98" s="7">
        <f>SUM(F98:J98)</f>
        <v>78631</v>
      </c>
      <c r="L98" s="7">
        <f t="shared" si="10"/>
        <v>24194.758699999998</v>
      </c>
      <c r="M98" s="7">
        <v>495</v>
      </c>
      <c r="O98" s="7">
        <f t="shared" si="11"/>
        <v>1140.1495</v>
      </c>
      <c r="P98" s="7">
        <v>183</v>
      </c>
      <c r="Q98" s="7">
        <v>0</v>
      </c>
      <c r="R98" s="7">
        <v>529.62</v>
      </c>
      <c r="S98" s="7">
        <f>SUM(L98:R98)</f>
        <v>26542.528199999997</v>
      </c>
      <c r="T98" s="7">
        <f>K98+S98</f>
        <v>105173.5282</v>
      </c>
      <c r="U98" s="7">
        <f>6576+4985.23</f>
        <v>11561.23</v>
      </c>
      <c r="V98" s="7">
        <v>14740.92</v>
      </c>
      <c r="Z98" s="7">
        <f t="shared" si="9"/>
        <v>26302.15</v>
      </c>
    </row>
    <row r="99" spans="1:27">
      <c r="I99" s="114"/>
    </row>
    <row r="100" spans="1:27" ht="15" hidden="1" customHeight="1">
      <c r="T100" s="115" t="s">
        <v>307</v>
      </c>
      <c r="U100" s="115"/>
      <c r="V100" s="115"/>
    </row>
    <row r="101" spans="1:27" ht="15" hidden="1" customHeight="1">
      <c r="T101" s="115"/>
      <c r="U101" s="115"/>
      <c r="V101" s="115"/>
    </row>
    <row r="102" spans="1:27" hidden="1">
      <c r="T102" s="116" t="s">
        <v>308</v>
      </c>
      <c r="U102" s="117">
        <v>224038.3</v>
      </c>
      <c r="V102" s="118"/>
    </row>
    <row r="103" spans="1:27" hidden="1">
      <c r="T103" s="116" t="s">
        <v>309</v>
      </c>
      <c r="U103" s="117">
        <v>3248.55</v>
      </c>
      <c r="V103" s="118"/>
    </row>
    <row r="104" spans="1:27" ht="13.5" hidden="1" thickBot="1">
      <c r="T104" s="119" t="s">
        <v>310</v>
      </c>
      <c r="U104" s="120">
        <f>U102+U103</f>
        <v>227286.84999999998</v>
      </c>
      <c r="V104" s="118"/>
    </row>
    <row r="105" spans="1:27" ht="12" thickBot="1"/>
    <row r="106" spans="1:27" ht="12.75" thickTop="1" thickBot="1">
      <c r="A106" s="6"/>
      <c r="B106" s="121" t="s">
        <v>10</v>
      </c>
      <c r="C106" s="122"/>
      <c r="D106" s="122"/>
      <c r="E106" s="123"/>
      <c r="F106" s="124"/>
      <c r="G106" s="122"/>
      <c r="H106" s="122"/>
      <c r="I106" s="122"/>
      <c r="J106" s="125"/>
      <c r="K106" s="6"/>
      <c r="L106" s="6"/>
      <c r="M106" s="6"/>
      <c r="N106" s="6"/>
      <c r="O106" s="6"/>
      <c r="P106" s="6"/>
      <c r="Q106" s="121" t="s">
        <v>10</v>
      </c>
      <c r="R106" s="125"/>
      <c r="S106" s="6"/>
      <c r="T106" s="6"/>
      <c r="U106" s="6"/>
      <c r="V106" s="6"/>
      <c r="W106" s="6"/>
      <c r="X106" s="6"/>
      <c r="Y106" s="6"/>
      <c r="Z106" s="6"/>
    </row>
    <row r="107" spans="1:27" ht="12" thickTop="1">
      <c r="A107" s="6"/>
      <c r="B107" s="126"/>
      <c r="C107" s="6"/>
      <c r="D107" s="6"/>
      <c r="E107" s="127"/>
      <c r="F107" s="6"/>
      <c r="G107" s="6"/>
      <c r="H107" s="6"/>
      <c r="I107" s="6"/>
      <c r="J107" s="128"/>
      <c r="K107" s="6"/>
      <c r="L107" s="6"/>
      <c r="M107" s="6"/>
      <c r="N107" s="6"/>
      <c r="O107" s="6"/>
      <c r="P107" s="6"/>
      <c r="Q107" s="126"/>
      <c r="R107" s="128"/>
      <c r="S107" s="6"/>
      <c r="T107" s="6"/>
      <c r="U107" s="6"/>
      <c r="V107" s="6"/>
      <c r="W107" s="6"/>
      <c r="X107" s="6"/>
      <c r="Y107" s="6"/>
      <c r="Z107" s="6"/>
    </row>
    <row r="108" spans="1:27">
      <c r="A108" s="6"/>
      <c r="B108" s="129" t="s">
        <v>11</v>
      </c>
      <c r="C108" s="130" t="s">
        <v>12</v>
      </c>
      <c r="D108" s="131" t="s">
        <v>13</v>
      </c>
      <c r="E108" s="130" t="s">
        <v>14</v>
      </c>
      <c r="F108" s="131" t="s">
        <v>15</v>
      </c>
      <c r="G108" s="132" t="s">
        <v>16</v>
      </c>
      <c r="H108" s="132" t="s">
        <v>17</v>
      </c>
      <c r="I108" s="132" t="s">
        <v>18</v>
      </c>
      <c r="J108" s="133" t="s">
        <v>19</v>
      </c>
      <c r="K108" s="130" t="s">
        <v>20</v>
      </c>
      <c r="L108" s="130" t="s">
        <v>21</v>
      </c>
      <c r="M108" s="131" t="s">
        <v>22</v>
      </c>
      <c r="N108" s="131" t="s">
        <v>23</v>
      </c>
      <c r="O108" s="131" t="s">
        <v>24</v>
      </c>
      <c r="P108" s="131" t="s">
        <v>25</v>
      </c>
      <c r="Q108" s="134" t="s">
        <v>26</v>
      </c>
      <c r="R108" s="133" t="s">
        <v>27</v>
      </c>
      <c r="S108" s="134" t="s">
        <v>28</v>
      </c>
      <c r="T108" s="113" t="s">
        <v>29</v>
      </c>
      <c r="U108" s="135" t="s">
        <v>30</v>
      </c>
      <c r="V108" s="136" t="s">
        <v>31</v>
      </c>
      <c r="W108" s="136" t="s">
        <v>32</v>
      </c>
      <c r="X108" s="136" t="s">
        <v>33</v>
      </c>
      <c r="Y108" s="6"/>
      <c r="Z108" s="6"/>
    </row>
    <row r="109" spans="1:27">
      <c r="A109" s="137"/>
      <c r="B109" s="138" t="s">
        <v>0</v>
      </c>
      <c r="C109" s="139"/>
      <c r="D109" s="140" t="s">
        <v>0</v>
      </c>
      <c r="E109" s="140" t="s">
        <v>0</v>
      </c>
      <c r="F109" s="141" t="s">
        <v>0</v>
      </c>
      <c r="G109" s="142"/>
      <c r="H109" s="142" t="s">
        <v>34</v>
      </c>
      <c r="I109" s="143" t="s">
        <v>35</v>
      </c>
      <c r="J109" s="144"/>
      <c r="K109" s="145" t="s">
        <v>0</v>
      </c>
      <c r="L109" s="146"/>
      <c r="M109" s="147"/>
      <c r="N109" s="147"/>
      <c r="O109" s="147" t="s">
        <v>36</v>
      </c>
      <c r="P109" s="147"/>
      <c r="Q109" s="148"/>
      <c r="R109" s="149"/>
      <c r="S109" s="150"/>
      <c r="T109" s="145"/>
      <c r="U109" s="151" t="s">
        <v>37</v>
      </c>
      <c r="V109" s="151" t="s">
        <v>38</v>
      </c>
      <c r="W109" s="151" t="s">
        <v>39</v>
      </c>
      <c r="X109" s="151" t="s">
        <v>40</v>
      </c>
      <c r="Y109" s="6"/>
      <c r="Z109" s="6"/>
    </row>
    <row r="110" spans="1:27">
      <c r="A110" s="152"/>
      <c r="B110" s="153" t="s">
        <v>41</v>
      </c>
      <c r="C110" s="142" t="s">
        <v>41</v>
      </c>
      <c r="D110" s="142" t="s">
        <v>42</v>
      </c>
      <c r="E110" s="142" t="s">
        <v>43</v>
      </c>
      <c r="F110" s="154" t="s">
        <v>0</v>
      </c>
      <c r="G110" s="142"/>
      <c r="H110" s="142" t="s">
        <v>44</v>
      </c>
      <c r="I110" s="155"/>
      <c r="J110" s="156"/>
      <c r="K110" s="157" t="s">
        <v>45</v>
      </c>
      <c r="L110" s="141" t="s">
        <v>46</v>
      </c>
      <c r="M110" s="141" t="s">
        <v>47</v>
      </c>
      <c r="N110" s="141" t="s">
        <v>48</v>
      </c>
      <c r="O110" s="141" t="s">
        <v>49</v>
      </c>
      <c r="P110" s="146" t="s">
        <v>50</v>
      </c>
      <c r="Q110" s="158" t="s">
        <v>51</v>
      </c>
      <c r="R110" s="159" t="s">
        <v>52</v>
      </c>
      <c r="S110" s="150" t="s">
        <v>53</v>
      </c>
      <c r="T110" s="157" t="s">
        <v>54</v>
      </c>
      <c r="U110" s="160"/>
      <c r="V110" s="160"/>
      <c r="W110" s="160"/>
      <c r="X110" s="160"/>
      <c r="Y110" s="6"/>
      <c r="Z110" s="6"/>
    </row>
    <row r="111" spans="1:27" ht="12" thickBot="1">
      <c r="A111" s="152" t="s">
        <v>55</v>
      </c>
      <c r="B111" s="161" t="s">
        <v>56</v>
      </c>
      <c r="C111" s="162" t="s">
        <v>57</v>
      </c>
      <c r="D111" s="162" t="s">
        <v>58</v>
      </c>
      <c r="E111" s="162" t="s">
        <v>59</v>
      </c>
      <c r="F111" s="163" t="s">
        <v>60</v>
      </c>
      <c r="G111" s="162" t="s">
        <v>61</v>
      </c>
      <c r="H111" s="164" t="s">
        <v>62</v>
      </c>
      <c r="I111" s="165" t="s">
        <v>63</v>
      </c>
      <c r="J111" s="166" t="s">
        <v>64</v>
      </c>
      <c r="K111" s="167" t="s">
        <v>65</v>
      </c>
      <c r="L111" s="168" t="s">
        <v>66</v>
      </c>
      <c r="M111" s="169" t="s">
        <v>67</v>
      </c>
      <c r="N111" s="163"/>
      <c r="O111" s="170" t="s">
        <v>68</v>
      </c>
      <c r="P111" s="171" t="s">
        <v>69</v>
      </c>
      <c r="Q111" s="172" t="s">
        <v>70</v>
      </c>
      <c r="R111" s="173" t="s">
        <v>70</v>
      </c>
      <c r="S111" s="167" t="s">
        <v>71</v>
      </c>
      <c r="T111" s="174" t="s">
        <v>72</v>
      </c>
      <c r="U111" s="175"/>
      <c r="V111" s="175"/>
      <c r="W111" s="175"/>
      <c r="X111" s="175"/>
      <c r="Y111" s="6"/>
      <c r="Z111" s="127" t="s">
        <v>72</v>
      </c>
    </row>
    <row r="112" spans="1:27" ht="13.5" thickTop="1" thickBot="1">
      <c r="A112" s="176">
        <v>1</v>
      </c>
      <c r="B112" s="177">
        <v>100</v>
      </c>
      <c r="C112" s="178" t="s">
        <v>311</v>
      </c>
      <c r="D112" s="178" t="s">
        <v>312</v>
      </c>
      <c r="E112" s="179" t="s">
        <v>80</v>
      </c>
      <c r="F112" s="180">
        <v>170927.43</v>
      </c>
      <c r="G112" s="180"/>
      <c r="H112" s="180"/>
      <c r="I112" s="181"/>
      <c r="J112" s="180"/>
      <c r="K112" s="180">
        <f>F112+J112</f>
        <v>170927.43</v>
      </c>
      <c r="L112" s="180">
        <f>F112*0.3077</f>
        <v>52594.370210999994</v>
      </c>
      <c r="M112" s="180"/>
      <c r="N112" s="180"/>
      <c r="O112" s="180">
        <f>K112*0.0145</f>
        <v>2478.4477350000002</v>
      </c>
      <c r="P112" s="180">
        <v>183</v>
      </c>
      <c r="Q112" s="180">
        <f>266.16*26</f>
        <v>6920.1600000000008</v>
      </c>
      <c r="R112" s="180">
        <f>15.33*26</f>
        <v>398.58</v>
      </c>
      <c r="S112" s="180">
        <f>L112+M112+O112+P112+Q112+R112</f>
        <v>62574.557946000001</v>
      </c>
      <c r="T112" s="180">
        <f>K112+S112</f>
        <v>233501.98794600001</v>
      </c>
      <c r="U112" s="180">
        <v>52412</v>
      </c>
      <c r="V112" s="180">
        <v>73810.009999999995</v>
      </c>
      <c r="W112" s="180"/>
      <c r="X112" s="180"/>
      <c r="Y112" s="182"/>
      <c r="Z112" s="182">
        <f>U112+V112</f>
        <v>126222.01</v>
      </c>
      <c r="AA112" s="183"/>
    </row>
    <row r="113" spans="1:27" ht="12.75" thickBot="1">
      <c r="A113" s="176">
        <v>2</v>
      </c>
      <c r="B113" s="184">
        <v>101</v>
      </c>
      <c r="C113" s="176" t="s">
        <v>313</v>
      </c>
      <c r="D113" s="176" t="s">
        <v>314</v>
      </c>
      <c r="E113" s="185" t="s">
        <v>116</v>
      </c>
      <c r="F113" s="182">
        <v>138199.24</v>
      </c>
      <c r="G113" s="182"/>
      <c r="H113" s="182"/>
      <c r="I113" s="186">
        <v>46189</v>
      </c>
      <c r="J113" s="182"/>
      <c r="K113" s="182">
        <f t="shared" ref="K113:K127" si="12">F113+J113</f>
        <v>138199.24</v>
      </c>
      <c r="L113" s="180">
        <f t="shared" ref="L113:L126" si="13">F113*0.3077</f>
        <v>42523.906147999995</v>
      </c>
      <c r="M113" s="182"/>
      <c r="N113" s="182"/>
      <c r="O113" s="180">
        <f t="shared" ref="O113:O127" si="14">K113*0.0145</f>
        <v>2003.8889799999999</v>
      </c>
      <c r="P113" s="182">
        <v>183</v>
      </c>
      <c r="Q113" s="182">
        <f>266.16*26</f>
        <v>6920.1600000000008</v>
      </c>
      <c r="R113" s="182">
        <v>399</v>
      </c>
      <c r="S113" s="180">
        <f t="shared" ref="S113:S127" si="15">L113+M113+O113+P113+Q113+R113</f>
        <v>52029.955128000001</v>
      </c>
      <c r="T113" s="182">
        <f t="shared" ref="T113:T127" si="16">K113+S113</f>
        <v>190229.19512799999</v>
      </c>
      <c r="U113" s="182">
        <v>41529</v>
      </c>
      <c r="V113" s="182">
        <v>51209.4</v>
      </c>
      <c r="W113" s="182"/>
      <c r="X113" s="182"/>
      <c r="Y113" s="182"/>
      <c r="Z113" s="182">
        <f>U113+V113</f>
        <v>92738.4</v>
      </c>
      <c r="AA113" s="183"/>
    </row>
    <row r="114" spans="1:27" ht="12.75" thickBot="1">
      <c r="A114" s="176">
        <v>3</v>
      </c>
      <c r="B114" s="184">
        <v>102</v>
      </c>
      <c r="C114" s="176" t="s">
        <v>313</v>
      </c>
      <c r="D114" s="176" t="s">
        <v>315</v>
      </c>
      <c r="E114" s="185" t="s">
        <v>130</v>
      </c>
      <c r="F114" s="182">
        <v>110430.68</v>
      </c>
      <c r="G114" s="182"/>
      <c r="H114" s="182"/>
      <c r="I114" s="186">
        <v>45937</v>
      </c>
      <c r="J114" s="182"/>
      <c r="K114" s="182">
        <f t="shared" si="12"/>
        <v>110430.68</v>
      </c>
      <c r="L114" s="180">
        <f t="shared" si="13"/>
        <v>33979.520235999997</v>
      </c>
      <c r="M114" s="182"/>
      <c r="N114" s="182"/>
      <c r="O114" s="180">
        <f t="shared" si="14"/>
        <v>1601.24486</v>
      </c>
      <c r="P114" s="182">
        <v>183</v>
      </c>
      <c r="Q114" s="182"/>
      <c r="R114" s="182"/>
      <c r="S114" s="180">
        <f t="shared" si="15"/>
        <v>35763.765095999996</v>
      </c>
      <c r="T114" s="182">
        <f t="shared" si="16"/>
        <v>146194.44509599998</v>
      </c>
      <c r="U114" s="182">
        <v>28173</v>
      </c>
      <c r="V114" s="182">
        <v>39442.620000000003</v>
      </c>
      <c r="W114" s="182"/>
      <c r="X114" s="182"/>
      <c r="Y114" s="182"/>
      <c r="Z114" s="182">
        <f>U114+V114</f>
        <v>67615.62</v>
      </c>
      <c r="AA114" s="183"/>
    </row>
    <row r="115" spans="1:27" ht="12.75" thickBot="1">
      <c r="A115" s="176">
        <v>4</v>
      </c>
      <c r="B115" s="184">
        <v>103</v>
      </c>
      <c r="C115" s="176" t="s">
        <v>316</v>
      </c>
      <c r="D115" s="176" t="s">
        <v>317</v>
      </c>
      <c r="E115" s="185" t="s">
        <v>318</v>
      </c>
      <c r="F115" s="182">
        <v>91760</v>
      </c>
      <c r="G115" s="182"/>
      <c r="H115" s="182"/>
      <c r="I115" s="186">
        <v>45813</v>
      </c>
      <c r="J115" s="182"/>
      <c r="K115" s="182">
        <f t="shared" si="12"/>
        <v>91760</v>
      </c>
      <c r="L115" s="180">
        <f t="shared" si="13"/>
        <v>28234.551999999996</v>
      </c>
      <c r="M115" s="182">
        <v>495</v>
      </c>
      <c r="N115" s="182"/>
      <c r="O115" s="180">
        <f t="shared" si="14"/>
        <v>1330.52</v>
      </c>
      <c r="P115" s="182">
        <v>183</v>
      </c>
      <c r="Q115" s="182">
        <f>184.63*26</f>
        <v>4800.38</v>
      </c>
      <c r="R115" s="182">
        <v>341</v>
      </c>
      <c r="S115" s="180">
        <f t="shared" si="15"/>
        <v>35384.451999999997</v>
      </c>
      <c r="T115" s="182">
        <f t="shared" si="16"/>
        <v>127144.45199999999</v>
      </c>
      <c r="U115" s="182">
        <v>29333</v>
      </c>
      <c r="V115" s="182">
        <v>34223.49</v>
      </c>
      <c r="W115" s="182"/>
      <c r="X115" s="182"/>
      <c r="Y115" s="182"/>
      <c r="Z115" s="182">
        <f t="shared" ref="Z115:Z126" si="17">U115+V115</f>
        <v>63556.49</v>
      </c>
      <c r="AA115" s="183"/>
    </row>
    <row r="116" spans="1:27" ht="12.75" thickBot="1">
      <c r="A116" s="176">
        <v>5</v>
      </c>
      <c r="B116" s="184">
        <v>104</v>
      </c>
      <c r="C116" s="176" t="s">
        <v>319</v>
      </c>
      <c r="D116" s="176" t="s">
        <v>320</v>
      </c>
      <c r="E116" s="185" t="s">
        <v>321</v>
      </c>
      <c r="F116" s="182">
        <v>74033.62</v>
      </c>
      <c r="G116" s="182"/>
      <c r="H116" s="182"/>
      <c r="I116" s="186">
        <v>45817</v>
      </c>
      <c r="J116" s="182"/>
      <c r="K116" s="182">
        <f t="shared" si="12"/>
        <v>74033.62</v>
      </c>
      <c r="L116" s="180">
        <f t="shared" si="13"/>
        <v>22780.144873999998</v>
      </c>
      <c r="M116" s="182"/>
      <c r="N116" s="182"/>
      <c r="O116" s="180">
        <f t="shared" si="14"/>
        <v>1073.48749</v>
      </c>
      <c r="P116" s="182">
        <v>183</v>
      </c>
      <c r="Q116" s="182"/>
      <c r="R116" s="182"/>
      <c r="S116" s="180">
        <f t="shared" si="15"/>
        <v>24036.632363999997</v>
      </c>
      <c r="T116" s="182">
        <f t="shared" si="16"/>
        <v>98070.252363999985</v>
      </c>
      <c r="U116" s="182">
        <v>22549</v>
      </c>
      <c r="V116" s="182">
        <v>26351.919999999998</v>
      </c>
      <c r="W116" s="182"/>
      <c r="X116" s="182"/>
      <c r="Y116" s="182"/>
      <c r="Z116" s="182">
        <f t="shared" si="17"/>
        <v>48900.92</v>
      </c>
      <c r="AA116" s="183"/>
    </row>
    <row r="117" spans="1:27" ht="12.75" thickBot="1">
      <c r="A117" s="176">
        <v>6</v>
      </c>
      <c r="B117" s="184">
        <v>105</v>
      </c>
      <c r="C117" s="176" t="s">
        <v>322</v>
      </c>
      <c r="D117" s="176" t="s">
        <v>323</v>
      </c>
      <c r="E117" s="185" t="s">
        <v>324</v>
      </c>
      <c r="F117" s="182">
        <v>41162</v>
      </c>
      <c r="G117" s="182"/>
      <c r="H117" s="182"/>
      <c r="I117" s="186">
        <v>45884</v>
      </c>
      <c r="J117" s="182"/>
      <c r="K117" s="182">
        <f t="shared" si="12"/>
        <v>41162</v>
      </c>
      <c r="L117" s="180">
        <f t="shared" si="13"/>
        <v>12665.547399999999</v>
      </c>
      <c r="M117" s="182">
        <v>495</v>
      </c>
      <c r="N117" s="182"/>
      <c r="O117" s="180">
        <f t="shared" si="14"/>
        <v>596.84900000000005</v>
      </c>
      <c r="P117" s="182">
        <v>183</v>
      </c>
      <c r="Q117" s="182">
        <f>319.59*26</f>
        <v>8309.34</v>
      </c>
      <c r="R117" s="182">
        <f>18.69*26</f>
        <v>485.94000000000005</v>
      </c>
      <c r="S117" s="180">
        <f t="shared" si="15"/>
        <v>22735.6764</v>
      </c>
      <c r="T117" s="182">
        <f t="shared" si="16"/>
        <v>63897.676399999997</v>
      </c>
      <c r="U117" s="182">
        <v>14739</v>
      </c>
      <c r="V117" s="182">
        <v>17195.919999999998</v>
      </c>
      <c r="W117" s="182"/>
      <c r="X117" s="182"/>
      <c r="Y117" s="182"/>
      <c r="Z117" s="182">
        <f t="shared" si="17"/>
        <v>31934.92</v>
      </c>
      <c r="AA117" s="183"/>
    </row>
    <row r="118" spans="1:27" ht="12.75" thickBot="1">
      <c r="A118" s="176">
        <v>7</v>
      </c>
      <c r="B118" s="184">
        <v>106</v>
      </c>
      <c r="C118" s="176" t="s">
        <v>325</v>
      </c>
      <c r="D118" s="176" t="s">
        <v>326</v>
      </c>
      <c r="E118" s="185" t="s">
        <v>327</v>
      </c>
      <c r="F118" s="182">
        <v>40761</v>
      </c>
      <c r="G118" s="182"/>
      <c r="H118" s="182"/>
      <c r="I118" s="186">
        <v>45911</v>
      </c>
      <c r="J118" s="182"/>
      <c r="K118" s="182">
        <f t="shared" si="12"/>
        <v>40761</v>
      </c>
      <c r="L118" s="180">
        <f t="shared" si="13"/>
        <v>12542.159699999998</v>
      </c>
      <c r="M118" s="182"/>
      <c r="N118" s="182"/>
      <c r="O118" s="180">
        <f t="shared" si="14"/>
        <v>591.03449999999998</v>
      </c>
      <c r="P118" s="182">
        <v>183</v>
      </c>
      <c r="Q118" s="182">
        <f>184.63*26</f>
        <v>4800.38</v>
      </c>
      <c r="R118" s="182">
        <v>341</v>
      </c>
      <c r="S118" s="180">
        <f t="shared" si="15"/>
        <v>18457.574199999999</v>
      </c>
      <c r="T118" s="182">
        <f t="shared" si="16"/>
        <v>59218.574200000003</v>
      </c>
      <c r="U118" s="182">
        <v>13631</v>
      </c>
      <c r="V118" s="182">
        <v>15927.31</v>
      </c>
      <c r="W118" s="182"/>
      <c r="X118" s="182"/>
      <c r="Y118" s="182"/>
      <c r="Z118" s="182">
        <f t="shared" si="17"/>
        <v>29558.309999999998</v>
      </c>
      <c r="AA118" s="183"/>
    </row>
    <row r="119" spans="1:27" ht="12.75" thickBot="1">
      <c r="A119" s="176">
        <v>8</v>
      </c>
      <c r="B119" s="184">
        <v>107</v>
      </c>
      <c r="C119" s="176" t="s">
        <v>328</v>
      </c>
      <c r="D119" s="176" t="s">
        <v>329</v>
      </c>
      <c r="E119" s="185" t="s">
        <v>220</v>
      </c>
      <c r="F119" s="182">
        <v>51380</v>
      </c>
      <c r="G119" s="182"/>
      <c r="H119" s="182"/>
      <c r="I119" s="186">
        <v>45939</v>
      </c>
      <c r="J119" s="182"/>
      <c r="K119" s="182">
        <f t="shared" si="12"/>
        <v>51380</v>
      </c>
      <c r="L119" s="180">
        <f t="shared" si="13"/>
        <v>15809.625999999998</v>
      </c>
      <c r="M119" s="182">
        <v>495</v>
      </c>
      <c r="N119" s="182"/>
      <c r="O119" s="180">
        <f t="shared" si="14"/>
        <v>745.01</v>
      </c>
      <c r="P119" s="182">
        <v>183</v>
      </c>
      <c r="Q119" s="182">
        <f>184.63*26</f>
        <v>4800.38</v>
      </c>
      <c r="R119" s="182">
        <v>341</v>
      </c>
      <c r="S119" s="180">
        <f t="shared" si="15"/>
        <v>22374.016</v>
      </c>
      <c r="T119" s="182">
        <f t="shared" si="16"/>
        <v>73754.016000000003</v>
      </c>
      <c r="U119" s="182">
        <v>17043</v>
      </c>
      <c r="V119" s="182">
        <v>19854.099999999999</v>
      </c>
      <c r="W119" s="182"/>
      <c r="X119" s="182"/>
      <c r="Y119" s="182"/>
      <c r="Z119" s="182">
        <f t="shared" si="17"/>
        <v>36897.1</v>
      </c>
      <c r="AA119" s="183"/>
    </row>
    <row r="120" spans="1:27" ht="12.75" thickBot="1">
      <c r="A120" s="176">
        <v>9</v>
      </c>
      <c r="B120" s="184">
        <v>108</v>
      </c>
      <c r="C120" s="176" t="s">
        <v>313</v>
      </c>
      <c r="D120" s="176" t="s">
        <v>330</v>
      </c>
      <c r="E120" s="185" t="s">
        <v>83</v>
      </c>
      <c r="F120" s="182">
        <v>150702.51</v>
      </c>
      <c r="G120" s="182"/>
      <c r="H120" s="182"/>
      <c r="I120" s="186">
        <v>46114</v>
      </c>
      <c r="J120" s="182"/>
      <c r="K120" s="182">
        <f t="shared" si="12"/>
        <v>150702.51</v>
      </c>
      <c r="L120" s="180">
        <f t="shared" si="13"/>
        <v>46371.162326999998</v>
      </c>
      <c r="M120" s="182"/>
      <c r="N120" s="182"/>
      <c r="O120" s="180">
        <f t="shared" si="14"/>
        <v>2185.1863950000002</v>
      </c>
      <c r="P120" s="182">
        <v>183</v>
      </c>
      <c r="Q120" s="182"/>
      <c r="R120" s="182"/>
      <c r="S120" s="180">
        <f t="shared" si="15"/>
        <v>48739.348721999995</v>
      </c>
      <c r="T120" s="182">
        <f t="shared" si="16"/>
        <v>199441.858722</v>
      </c>
      <c r="U120" s="182">
        <v>46021</v>
      </c>
      <c r="V120" s="182">
        <v>53693.5</v>
      </c>
      <c r="W120" s="182"/>
      <c r="X120" s="182"/>
      <c r="Y120" s="182"/>
      <c r="Z120" s="182">
        <f t="shared" si="17"/>
        <v>99714.5</v>
      </c>
      <c r="AA120" s="183"/>
    </row>
    <row r="121" spans="1:27" ht="12.75" thickBot="1">
      <c r="A121" s="176">
        <v>10</v>
      </c>
      <c r="B121" s="184">
        <v>109</v>
      </c>
      <c r="C121" s="176" t="s">
        <v>331</v>
      </c>
      <c r="D121" s="176" t="s">
        <v>332</v>
      </c>
      <c r="E121" s="185" t="s">
        <v>333</v>
      </c>
      <c r="F121" s="182">
        <v>77478.899999999994</v>
      </c>
      <c r="G121" s="182"/>
      <c r="H121" s="182"/>
      <c r="I121" s="186">
        <v>46152</v>
      </c>
      <c r="J121" s="182"/>
      <c r="K121" s="182">
        <f t="shared" si="12"/>
        <v>77478.899999999994</v>
      </c>
      <c r="L121" s="180">
        <f t="shared" si="13"/>
        <v>23840.257529999995</v>
      </c>
      <c r="M121" s="182"/>
      <c r="N121" s="182"/>
      <c r="O121" s="180">
        <f t="shared" si="14"/>
        <v>1123.4440500000001</v>
      </c>
      <c r="P121" s="182">
        <v>183</v>
      </c>
      <c r="Q121" s="182">
        <f>328.88*26</f>
        <v>8550.8799999999992</v>
      </c>
      <c r="R121" s="182">
        <v>341</v>
      </c>
      <c r="S121" s="180">
        <f t="shared" si="15"/>
        <v>34038.581579999991</v>
      </c>
      <c r="T121" s="182">
        <f t="shared" si="16"/>
        <v>111517.48157999999</v>
      </c>
      <c r="U121" s="182">
        <v>27080</v>
      </c>
      <c r="V121" s="182">
        <v>30007.11</v>
      </c>
      <c r="W121" s="182"/>
      <c r="X121" s="182"/>
      <c r="Y121" s="182"/>
      <c r="Z121" s="182">
        <f t="shared" si="17"/>
        <v>57087.11</v>
      </c>
      <c r="AA121" s="183"/>
    </row>
    <row r="122" spans="1:27" ht="12.75" thickBot="1">
      <c r="A122" s="176">
        <v>11</v>
      </c>
      <c r="B122" s="184">
        <v>110</v>
      </c>
      <c r="C122" s="176" t="s">
        <v>334</v>
      </c>
      <c r="D122" s="176" t="s">
        <v>335</v>
      </c>
      <c r="E122" s="185" t="s">
        <v>336</v>
      </c>
      <c r="F122" s="182">
        <v>28964</v>
      </c>
      <c r="G122" s="182"/>
      <c r="H122" s="182"/>
      <c r="I122" s="186"/>
      <c r="J122" s="182"/>
      <c r="K122" s="182">
        <f t="shared" si="12"/>
        <v>28964</v>
      </c>
      <c r="L122" s="180">
        <f t="shared" si="13"/>
        <v>8912.2227999999996</v>
      </c>
      <c r="M122" s="182"/>
      <c r="N122" s="182"/>
      <c r="O122" s="180">
        <f t="shared" si="14"/>
        <v>419.97800000000001</v>
      </c>
      <c r="P122" s="182">
        <v>183</v>
      </c>
      <c r="Q122" s="182"/>
      <c r="R122" s="182"/>
      <c r="S122" s="180">
        <f t="shared" si="15"/>
        <v>9515.2007999999987</v>
      </c>
      <c r="T122" s="182">
        <f t="shared" si="16"/>
        <v>38479.200799999999</v>
      </c>
      <c r="U122" s="182"/>
      <c r="V122" s="182"/>
      <c r="W122" s="182"/>
      <c r="X122" s="182"/>
      <c r="Y122" s="182"/>
      <c r="Z122" s="182">
        <f t="shared" si="17"/>
        <v>0</v>
      </c>
      <c r="AA122" s="183"/>
    </row>
    <row r="123" spans="1:27" ht="12.75" thickBot="1">
      <c r="A123" s="176">
        <v>12</v>
      </c>
      <c r="B123" s="184">
        <v>112</v>
      </c>
      <c r="C123" s="176" t="s">
        <v>337</v>
      </c>
      <c r="D123" s="176" t="s">
        <v>338</v>
      </c>
      <c r="E123" s="185" t="s">
        <v>91</v>
      </c>
      <c r="F123" s="182">
        <v>55837</v>
      </c>
      <c r="G123" s="182"/>
      <c r="H123" s="182"/>
      <c r="I123" s="186"/>
      <c r="J123" s="182"/>
      <c r="K123" s="182">
        <f t="shared" si="12"/>
        <v>55837</v>
      </c>
      <c r="L123" s="180">
        <f t="shared" si="13"/>
        <v>17181.044899999997</v>
      </c>
      <c r="M123" s="182"/>
      <c r="N123" s="182"/>
      <c r="O123" s="180">
        <f t="shared" si="14"/>
        <v>809.63650000000007</v>
      </c>
      <c r="P123" s="182">
        <v>183</v>
      </c>
      <c r="Q123" s="182">
        <f>184.63*26</f>
        <v>4800.38</v>
      </c>
      <c r="R123" s="182">
        <v>341</v>
      </c>
      <c r="S123" s="180">
        <f t="shared" si="15"/>
        <v>23315.061399999999</v>
      </c>
      <c r="T123" s="182">
        <f t="shared" si="16"/>
        <v>79152.061400000006</v>
      </c>
      <c r="U123" s="182">
        <v>14066</v>
      </c>
      <c r="V123" s="182"/>
      <c r="W123" s="182"/>
      <c r="X123" s="182"/>
      <c r="Y123" s="182"/>
      <c r="Z123" s="182">
        <f t="shared" si="17"/>
        <v>14066</v>
      </c>
      <c r="AA123" s="183"/>
    </row>
    <row r="124" spans="1:27" ht="12.75" thickBot="1">
      <c r="A124" s="176">
        <v>13</v>
      </c>
      <c r="B124" s="184">
        <v>114</v>
      </c>
      <c r="C124" s="176" t="s">
        <v>339</v>
      </c>
      <c r="D124" s="176" t="s">
        <v>340</v>
      </c>
      <c r="E124" s="185" t="s">
        <v>141</v>
      </c>
      <c r="F124" s="182">
        <v>79050</v>
      </c>
      <c r="G124" s="182"/>
      <c r="H124" s="182"/>
      <c r="I124" s="186">
        <v>45825</v>
      </c>
      <c r="J124" s="182"/>
      <c r="K124" s="182">
        <f t="shared" si="12"/>
        <v>79050</v>
      </c>
      <c r="L124" s="180">
        <f t="shared" si="13"/>
        <v>24323.684999999998</v>
      </c>
      <c r="M124" s="182">
        <v>495</v>
      </c>
      <c r="N124" s="182"/>
      <c r="O124" s="180">
        <f t="shared" si="14"/>
        <v>1146.2250000000001</v>
      </c>
      <c r="P124" s="182">
        <v>183</v>
      </c>
      <c r="Q124" s="182">
        <v>8561</v>
      </c>
      <c r="R124" s="182">
        <v>341</v>
      </c>
      <c r="S124" s="180">
        <f t="shared" si="15"/>
        <v>35049.909999999996</v>
      </c>
      <c r="T124" s="182">
        <f t="shared" si="16"/>
        <v>114099.91</v>
      </c>
      <c r="U124" s="182">
        <v>26277</v>
      </c>
      <c r="V124" s="182">
        <v>30703.96</v>
      </c>
      <c r="W124" s="182"/>
      <c r="X124" s="182"/>
      <c r="Y124" s="182"/>
      <c r="Z124" s="182">
        <f t="shared" si="17"/>
        <v>56980.959999999999</v>
      </c>
      <c r="AA124" s="183"/>
    </row>
    <row r="125" spans="1:27" ht="12.75" thickBot="1">
      <c r="A125" s="176">
        <v>14</v>
      </c>
      <c r="B125" s="184">
        <v>115</v>
      </c>
      <c r="C125" s="176" t="s">
        <v>341</v>
      </c>
      <c r="D125" s="176" t="s">
        <v>342</v>
      </c>
      <c r="E125" s="185" t="s">
        <v>343</v>
      </c>
      <c r="F125" s="182">
        <v>60365</v>
      </c>
      <c r="G125" s="182"/>
      <c r="H125" s="182"/>
      <c r="I125" s="186">
        <v>45709</v>
      </c>
      <c r="J125" s="182"/>
      <c r="K125" s="182">
        <f t="shared" si="12"/>
        <v>60365</v>
      </c>
      <c r="L125" s="180">
        <f t="shared" si="13"/>
        <v>18574.3105</v>
      </c>
      <c r="M125" s="182"/>
      <c r="N125" s="182"/>
      <c r="O125" s="180">
        <f t="shared" si="14"/>
        <v>875.29250000000002</v>
      </c>
      <c r="P125" s="182">
        <v>183</v>
      </c>
      <c r="Q125" s="182">
        <f>518.95*26</f>
        <v>13492.7</v>
      </c>
      <c r="R125" s="182">
        <v>399</v>
      </c>
      <c r="S125" s="180">
        <f t="shared" si="15"/>
        <v>33524.303</v>
      </c>
      <c r="T125" s="182">
        <f t="shared" si="16"/>
        <v>93889.303</v>
      </c>
      <c r="U125" s="182">
        <v>21672</v>
      </c>
      <c r="V125" s="182">
        <v>25260.83</v>
      </c>
      <c r="W125" s="182"/>
      <c r="X125" s="182"/>
      <c r="Y125" s="182"/>
      <c r="Z125" s="182">
        <f t="shared" si="17"/>
        <v>46932.83</v>
      </c>
      <c r="AA125" s="183"/>
    </row>
    <row r="126" spans="1:27" ht="12.75" thickBot="1">
      <c r="A126" s="176">
        <v>15</v>
      </c>
      <c r="B126" s="184">
        <v>116</v>
      </c>
      <c r="C126" s="176" t="s">
        <v>344</v>
      </c>
      <c r="D126" s="176" t="s">
        <v>345</v>
      </c>
      <c r="E126" s="185" t="s">
        <v>231</v>
      </c>
      <c r="F126" s="182">
        <v>33845</v>
      </c>
      <c r="G126" s="182"/>
      <c r="H126" s="182"/>
      <c r="I126" s="186">
        <v>45767</v>
      </c>
      <c r="J126" s="182"/>
      <c r="K126" s="182">
        <f t="shared" si="12"/>
        <v>33845</v>
      </c>
      <c r="L126" s="180">
        <f t="shared" si="13"/>
        <v>10414.1065</v>
      </c>
      <c r="M126" s="182"/>
      <c r="N126" s="182"/>
      <c r="O126" s="180">
        <f t="shared" si="14"/>
        <v>490.7525</v>
      </c>
      <c r="P126" s="182">
        <v>183</v>
      </c>
      <c r="Q126" s="182"/>
      <c r="R126" s="182"/>
      <c r="S126" s="180">
        <f t="shared" si="15"/>
        <v>11087.859</v>
      </c>
      <c r="T126" s="182">
        <f t="shared" si="16"/>
        <v>44932.858999999997</v>
      </c>
      <c r="U126" s="182">
        <v>3494</v>
      </c>
      <c r="V126" s="182">
        <v>1067.74</v>
      </c>
      <c r="W126" s="182"/>
      <c r="X126" s="182"/>
      <c r="Y126" s="182"/>
      <c r="Z126" s="182">
        <f t="shared" si="17"/>
        <v>4561.74</v>
      </c>
      <c r="AA126" s="183"/>
    </row>
    <row r="127" spans="1:27" ht="12.75" thickBot="1">
      <c r="A127" s="176">
        <v>16</v>
      </c>
      <c r="B127" s="176" t="s">
        <v>346</v>
      </c>
      <c r="C127" s="176" t="s">
        <v>337</v>
      </c>
      <c r="D127" s="176" t="s">
        <v>347</v>
      </c>
      <c r="E127" s="185" t="s">
        <v>348</v>
      </c>
      <c r="F127" s="182">
        <v>38211</v>
      </c>
      <c r="G127" s="182"/>
      <c r="H127" s="182"/>
      <c r="I127" s="182"/>
      <c r="J127" s="182"/>
      <c r="K127" s="182">
        <f t="shared" si="12"/>
        <v>38211</v>
      </c>
      <c r="L127" s="182"/>
      <c r="M127" s="182">
        <v>495</v>
      </c>
      <c r="N127" s="182"/>
      <c r="O127" s="180">
        <f t="shared" si="14"/>
        <v>554.05950000000007</v>
      </c>
      <c r="P127" s="182">
        <v>183</v>
      </c>
      <c r="Q127" s="182">
        <f>184.63*26</f>
        <v>4800.38</v>
      </c>
      <c r="R127" s="182">
        <f>13.12*26</f>
        <v>341.12</v>
      </c>
      <c r="S127" s="180">
        <f t="shared" si="15"/>
        <v>6373.5595000000003</v>
      </c>
      <c r="T127" s="182">
        <f t="shared" si="16"/>
        <v>44584.559500000003</v>
      </c>
      <c r="U127" s="182">
        <v>10022</v>
      </c>
      <c r="V127" s="182">
        <v>11709.39</v>
      </c>
      <c r="W127" s="182"/>
      <c r="X127" s="182"/>
      <c r="Y127" s="182"/>
      <c r="Z127" s="182"/>
      <c r="AA127" s="183"/>
    </row>
    <row r="128" spans="1:27" ht="12" thickBot="1">
      <c r="A128" s="183"/>
      <c r="B128" s="183"/>
      <c r="C128" s="183"/>
      <c r="D128" s="183"/>
      <c r="E128" s="187"/>
      <c r="F128" s="183"/>
      <c r="G128" s="183"/>
      <c r="H128" s="183"/>
      <c r="I128" s="183"/>
      <c r="J128" s="183"/>
      <c r="K128" s="183"/>
      <c r="L128" s="183"/>
      <c r="M128" s="183"/>
      <c r="N128" s="183"/>
      <c r="O128" s="183"/>
      <c r="P128" s="183"/>
      <c r="Q128" s="183"/>
      <c r="R128" s="183"/>
      <c r="S128" s="183"/>
      <c r="T128" s="183"/>
      <c r="U128" s="183"/>
      <c r="V128" s="183"/>
      <c r="W128" s="183"/>
      <c r="X128" s="183"/>
      <c r="Y128" s="183"/>
      <c r="Z128" s="183"/>
      <c r="AA128" s="183"/>
    </row>
    <row r="129" spans="1:27" ht="12.75" thickBot="1">
      <c r="A129" s="188"/>
      <c r="B129" s="188"/>
      <c r="C129" s="188"/>
      <c r="D129" s="188"/>
      <c r="E129" s="189"/>
      <c r="F129" s="188"/>
      <c r="G129" s="188"/>
      <c r="H129" s="188"/>
      <c r="I129" s="188"/>
      <c r="J129" s="188"/>
      <c r="K129" s="188"/>
      <c r="L129" s="188"/>
      <c r="M129" s="188"/>
      <c r="N129" s="188"/>
      <c r="O129" s="188"/>
      <c r="P129" s="188"/>
      <c r="Q129" s="188"/>
      <c r="R129" s="188"/>
      <c r="S129" s="188"/>
      <c r="T129" s="188"/>
      <c r="U129" s="188"/>
      <c r="V129" s="188"/>
      <c r="W129" s="188"/>
      <c r="X129" s="188"/>
      <c r="Y129" s="188"/>
      <c r="Z129" s="188"/>
      <c r="AA129" s="183"/>
    </row>
  </sheetData>
  <sheetProtection algorithmName="SHA-512" hashValue="/1QTFIA6Xcd28LL7+Ze/3XlIDOvS1Bze2gdAhv7RPqZyQ4OjBCNIvJ7ypEC9SMZymuZZPlZ8xHk+uHU3AGK0IA==" saltValue="wbx9tnoXENrTXqQ4VkScfg==" spinCount="100000" sheet="1" objects="1" scenarios="1"/>
  <mergeCells count="21">
    <mergeCell ref="T100:V101"/>
    <mergeCell ref="I109:J110"/>
    <mergeCell ref="U109:U111"/>
    <mergeCell ref="V109:V111"/>
    <mergeCell ref="W109:W111"/>
    <mergeCell ref="X109:X111"/>
    <mergeCell ref="V14:V16"/>
    <mergeCell ref="W14:W16"/>
    <mergeCell ref="X14:X16"/>
    <mergeCell ref="B83:J83"/>
    <mergeCell ref="I86:J87"/>
    <mergeCell ref="U86:U88"/>
    <mergeCell ref="V86:V88"/>
    <mergeCell ref="W86:W88"/>
    <mergeCell ref="X86:X88"/>
    <mergeCell ref="M2:Q2"/>
    <mergeCell ref="M4:Q4"/>
    <mergeCell ref="M6:Q6"/>
    <mergeCell ref="M8:Q8"/>
    <mergeCell ref="I14:J15"/>
    <mergeCell ref="U14:U16"/>
  </mergeCells>
  <printOptions horizontalCentered="1" verticalCentered="1"/>
  <pageMargins left="0" right="0" top="0" bottom="0" header="0.42" footer="0.23"/>
  <pageSetup scale="64" orientation="landscape" r:id="rId1"/>
  <headerFooter differentOddEven="1" scaleWithDoc="0" alignWithMargins="0">
    <oddHeader>&amp;R&amp;"Times New Roman,Bold"SP-1</oddHeader>
    <oddFooter xml:space="preserve">&amp;R&amp;"Times New Roman,Bold"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2nd Qtr as of 3.21.25</vt:lpstr>
      <vt:lpstr>'2nd Qtr as of 3.21.25'!Print_Area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A. Lim</dc:creator>
  <cp:lastModifiedBy>Kenneth A. Lim</cp:lastModifiedBy>
  <dcterms:created xsi:type="dcterms:W3CDTF">2025-06-02T22:38:26Z</dcterms:created>
  <dcterms:modified xsi:type="dcterms:W3CDTF">2025-06-02T23:40:00Z</dcterms:modified>
</cp:coreProperties>
</file>